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D:\Data\9119-00 Rekonštrukcia a obnova mostov na cestách III.triedy BBSK, oblasť Juh\Zadanie_ev_c_2561-3\"/>
    </mc:Choice>
  </mc:AlternateContent>
  <xr:revisionPtr revIDLastSave="0" documentId="13_ncr:1_{D463E7B6-6EFA-4A1F-85EB-51C13E9522AA}" xr6:coauthVersionLast="45" xr6:coauthVersionMax="45" xr10:uidLastSave="{00000000-0000-0000-0000-000000000000}"/>
  <workbookProtection workbookAlgorithmName="SHA-512" workbookHashValue="R+8jbYBDl2qg/dqHsjSoo/RIzb3529sJSYoqqsgYAiCftLDaKeOwURE6QpvhFg8pFVHS6cXeJzIk4Z+fy9PQ0A==" workbookSaltValue="Q4c4LKL+d5Qzoq3N+4wp1w==" workbookSpinCount="100000" lockStructure="1"/>
  <bookViews>
    <workbookView xWindow="-120" yWindow="-120" windowWidth="29040" windowHeight="17790" tabRatio="940" activeTab="2" xr2:uid="{00000000-000D-0000-FFFF-FFFF00000000}"/>
  </bookViews>
  <sheets>
    <sheet name="Rekapitulácia" sheetId="20" r:id="rId1"/>
    <sheet name="Rekapitulácia objektov" sheetId="21" r:id="rId2"/>
    <sheet name="001-00" sheetId="22" r:id="rId3"/>
    <sheet name="120-00" sheetId="18" r:id="rId4"/>
    <sheet name="202-00" sheetId="19" r:id="rId5"/>
  </sheets>
  <definedNames>
    <definedName name="_xlnm.Print_Titles" localSheetId="2">'001-00'!$1:$4</definedName>
    <definedName name="_xlnm.Print_Titles" localSheetId="3">'120-00'!$1:$4</definedName>
    <definedName name="_xlnm.Print_Titles" localSheetId="4">'202-00'!$1:$4</definedName>
    <definedName name="_xlnm.Print_Titles" localSheetId="1">'Rekapitulácia objektov'!$1:$3</definedName>
    <definedName name="_xlnm.Print_Area" localSheetId="2">'001-00'!$A$1:$J$34</definedName>
    <definedName name="_xlnm.Print_Area" localSheetId="3">'120-00'!$A$1:$J$288</definedName>
    <definedName name="_xlnm.Print_Area" localSheetId="4">'202-00'!$A$1:$J$433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27" i="22" l="1"/>
  <c r="J24" i="22" l="1"/>
  <c r="J21" i="22"/>
  <c r="J17" i="22"/>
  <c r="J13" i="22"/>
  <c r="J8" i="22"/>
  <c r="A8" i="22"/>
  <c r="A13" i="22" l="1"/>
  <c r="J34" i="22"/>
  <c r="F5" i="20" s="1"/>
  <c r="G5" i="20" s="1"/>
  <c r="H5" i="20" s="1"/>
  <c r="A17" i="22"/>
  <c r="A21" i="22" s="1"/>
  <c r="A24" i="22" s="1"/>
  <c r="A27" i="22" l="1"/>
  <c r="J417" i="19"/>
  <c r="J123" i="19"/>
  <c r="J16" i="19"/>
  <c r="J427" i="19"/>
  <c r="J404" i="19"/>
  <c r="J397" i="19"/>
  <c r="J383" i="19"/>
  <c r="J372" i="19"/>
  <c r="J367" i="19"/>
  <c r="J362" i="19"/>
  <c r="J355" i="19"/>
  <c r="J350" i="19"/>
  <c r="J344" i="19"/>
  <c r="J339" i="19"/>
  <c r="J332" i="19"/>
  <c r="J322" i="19"/>
  <c r="J318" i="19"/>
  <c r="J312" i="19"/>
  <c r="J306" i="19"/>
  <c r="J298" i="19"/>
  <c r="J293" i="19"/>
  <c r="J288" i="19"/>
  <c r="J281" i="19"/>
  <c r="J274" i="19"/>
  <c r="J266" i="19"/>
  <c r="J261" i="19"/>
  <c r="J258" i="19"/>
  <c r="J254" i="19"/>
  <c r="J249" i="19"/>
  <c r="J241" i="19"/>
  <c r="J233" i="19"/>
  <c r="J226" i="19"/>
  <c r="J217" i="19"/>
  <c r="J208" i="19"/>
  <c r="J203" i="19"/>
  <c r="J196" i="19"/>
  <c r="J189" i="19"/>
  <c r="J181" i="19"/>
  <c r="J167" i="19"/>
  <c r="J159" i="19"/>
  <c r="J147" i="19"/>
  <c r="J140" i="19"/>
  <c r="J133" i="19"/>
  <c r="J115" i="19"/>
  <c r="J106" i="19"/>
  <c r="J94" i="19"/>
  <c r="J86" i="19"/>
  <c r="J80" i="19"/>
  <c r="J72" i="19"/>
  <c r="J63" i="19"/>
  <c r="J54" i="19"/>
  <c r="J51" i="19"/>
  <c r="J48" i="19"/>
  <c r="J45" i="19"/>
  <c r="J39" i="19"/>
  <c r="J33" i="19"/>
  <c r="J23" i="19"/>
  <c r="J8" i="19"/>
  <c r="J249" i="18"/>
  <c r="J236" i="18"/>
  <c r="J228" i="18"/>
  <c r="J28" i="18"/>
  <c r="J22" i="18"/>
  <c r="J16" i="18"/>
  <c r="J8" i="18"/>
  <c r="J433" i="19" l="1"/>
  <c r="E5" i="21" s="1"/>
  <c r="F13" i="18"/>
  <c r="F12" i="18"/>
  <c r="F11" i="18"/>
  <c r="F430" i="19" l="1"/>
  <c r="F421" i="19"/>
  <c r="F420" i="19"/>
  <c r="F411" i="19"/>
  <c r="F410" i="19"/>
  <c r="F408" i="19"/>
  <c r="F407" i="19"/>
  <c r="F401" i="19"/>
  <c r="F400" i="19"/>
  <c r="F394" i="19"/>
  <c r="F393" i="19"/>
  <c r="F392" i="19"/>
  <c r="F395" i="19" s="1"/>
  <c r="F388" i="19"/>
  <c r="F387" i="19"/>
  <c r="F386" i="19"/>
  <c r="F378" i="19"/>
  <c r="F377" i="19"/>
  <c r="F375" i="19"/>
  <c r="F370" i="19"/>
  <c r="F365" i="19"/>
  <c r="F359" i="19"/>
  <c r="F360" i="19" s="1"/>
  <c r="F358" i="19"/>
  <c r="F353" i="19"/>
  <c r="F347" i="19"/>
  <c r="F342" i="19"/>
  <c r="F334" i="19"/>
  <c r="F327" i="19"/>
  <c r="F326" i="19"/>
  <c r="F325" i="19"/>
  <c r="F309" i="19"/>
  <c r="F308" i="19"/>
  <c r="F310" i="19" s="1"/>
  <c r="F303" i="19"/>
  <c r="F301" i="19"/>
  <c r="F304" i="19" s="1"/>
  <c r="F296" i="19"/>
  <c r="F291" i="19"/>
  <c r="F282" i="19"/>
  <c r="F278" i="19"/>
  <c r="F277" i="19"/>
  <c r="F279" i="19" s="1"/>
  <c r="F269" i="19"/>
  <c r="F270" i="19" s="1"/>
  <c r="F268" i="19"/>
  <c r="F264" i="19"/>
  <c r="F256" i="19"/>
  <c r="F252" i="19"/>
  <c r="F246" i="19"/>
  <c r="F245" i="19"/>
  <c r="F244" i="19"/>
  <c r="F243" i="19"/>
  <c r="F238" i="19"/>
  <c r="F237" i="19"/>
  <c r="F236" i="19"/>
  <c r="F235" i="19"/>
  <c r="F239" i="19" s="1"/>
  <c r="F230" i="19"/>
  <c r="F229" i="19"/>
  <c r="F231" i="19" s="1"/>
  <c r="F223" i="19"/>
  <c r="F222" i="19"/>
  <c r="F220" i="19"/>
  <c r="F219" i="19"/>
  <c r="F224" i="19" s="1"/>
  <c r="F214" i="19"/>
  <c r="F213" i="19"/>
  <c r="F211" i="19"/>
  <c r="F210" i="19"/>
  <c r="F215" i="19" s="1"/>
  <c r="F206" i="19"/>
  <c r="F199" i="19"/>
  <c r="F198" i="19"/>
  <c r="F200" i="19" s="1"/>
  <c r="F192" i="19"/>
  <c r="F191" i="19"/>
  <c r="F193" i="19" s="1"/>
  <c r="F185" i="19"/>
  <c r="F186" i="19" s="1"/>
  <c r="F184" i="19"/>
  <c r="F177" i="19"/>
  <c r="F176" i="19"/>
  <c r="F175" i="19"/>
  <c r="F172" i="19"/>
  <c r="F171" i="19"/>
  <c r="F170" i="19"/>
  <c r="F163" i="19"/>
  <c r="F162" i="19"/>
  <c r="F155" i="19"/>
  <c r="F154" i="19"/>
  <c r="F151" i="19"/>
  <c r="F150" i="19"/>
  <c r="F144" i="19"/>
  <c r="F143" i="19"/>
  <c r="F137" i="19"/>
  <c r="F136" i="19"/>
  <c r="F128" i="19"/>
  <c r="F121" i="19"/>
  <c r="F113" i="19"/>
  <c r="F111" i="19"/>
  <c r="F100" i="19"/>
  <c r="F98" i="19"/>
  <c r="F97" i="19"/>
  <c r="F90" i="19"/>
  <c r="F89" i="19"/>
  <c r="F83" i="19"/>
  <c r="F82" i="19"/>
  <c r="F77" i="19"/>
  <c r="F75" i="19"/>
  <c r="F74" i="19"/>
  <c r="F60" i="19"/>
  <c r="F59" i="19"/>
  <c r="F58" i="19"/>
  <c r="F57" i="19"/>
  <c r="F52" i="19"/>
  <c r="F49" i="19"/>
  <c r="F46" i="19"/>
  <c r="F42" i="19"/>
  <c r="F41" i="19"/>
  <c r="F43" i="19" s="1"/>
  <c r="F36" i="19"/>
  <c r="F35" i="19"/>
  <c r="F37" i="19" s="1"/>
  <c r="F28" i="19"/>
  <c r="F20" i="19"/>
  <c r="F19" i="19"/>
  <c r="F18" i="19"/>
  <c r="F17" i="19"/>
  <c r="A8" i="19"/>
  <c r="F91" i="19" l="1"/>
  <c r="F138" i="19"/>
  <c r="F152" i="19"/>
  <c r="F164" i="19"/>
  <c r="F389" i="19"/>
  <c r="F412" i="19"/>
  <c r="F422" i="19"/>
  <c r="F178" i="19"/>
  <c r="F247" i="19"/>
  <c r="F21" i="19"/>
  <c r="F61" i="19"/>
  <c r="F76" i="19"/>
  <c r="F78" i="19" s="1"/>
  <c r="F84" i="19"/>
  <c r="F99" i="19"/>
  <c r="F101" i="19" s="1"/>
  <c r="F145" i="19"/>
  <c r="F156" i="19"/>
  <c r="F173" i="19"/>
  <c r="F179" i="19" s="1"/>
  <c r="F402" i="19"/>
  <c r="F157" i="19"/>
  <c r="A16" i="19"/>
  <c r="A23" i="19" l="1"/>
  <c r="A33" i="19" l="1"/>
  <c r="A39" i="19"/>
  <c r="A45" i="19" l="1"/>
  <c r="A48" i="19" l="1"/>
  <c r="A51" i="19"/>
  <c r="A54" i="19" l="1"/>
  <c r="A63" i="19" l="1"/>
  <c r="A72" i="19"/>
  <c r="A80" i="19" s="1"/>
  <c r="A86" i="19" s="1"/>
  <c r="A94" i="19" s="1"/>
  <c r="A106" i="19" s="1"/>
  <c r="A115" i="19" s="1"/>
  <c r="A123" i="19" s="1"/>
  <c r="A133" i="19" s="1"/>
  <c r="A140" i="19" s="1"/>
  <c r="A147" i="19" s="1"/>
  <c r="A159" i="19" s="1"/>
  <c r="A167" i="19" s="1"/>
  <c r="A181" i="19" s="1"/>
  <c r="A189" i="19" s="1"/>
  <c r="A196" i="19" s="1"/>
  <c r="A203" i="19" s="1"/>
  <c r="A208" i="19" s="1"/>
  <c r="A217" i="19" s="1"/>
  <c r="A226" i="19" s="1"/>
  <c r="A233" i="19" s="1"/>
  <c r="A241" i="19" s="1"/>
  <c r="A254" i="19" s="1"/>
  <c r="A258" i="19" s="1"/>
  <c r="A261" i="19" s="1"/>
  <c r="A266" i="19" s="1"/>
  <c r="A274" i="19" s="1"/>
  <c r="A281" i="19" s="1"/>
  <c r="A288" i="19" s="1"/>
  <c r="A293" i="19" s="1"/>
  <c r="A298" i="19" s="1"/>
  <c r="A306" i="19" s="1"/>
  <c r="A312" i="19" s="1"/>
  <c r="A318" i="19" s="1"/>
  <c r="A322" i="19" s="1"/>
  <c r="A332" i="19" s="1"/>
  <c r="A339" i="19" s="1"/>
  <c r="A344" i="19" s="1"/>
  <c r="A350" i="19" s="1"/>
  <c r="A355" i="19" s="1"/>
  <c r="A362" i="19" s="1"/>
  <c r="A367" i="19" s="1"/>
  <c r="A372" i="19" s="1"/>
  <c r="A383" i="19" s="1"/>
  <c r="A397" i="19" s="1"/>
  <c r="A404" i="19" s="1"/>
  <c r="A417" i="19" s="1"/>
  <c r="A427" i="19" s="1"/>
  <c r="F231" i="18" l="1"/>
  <c r="F179" i="18"/>
  <c r="F20" i="18"/>
  <c r="F24" i="18"/>
  <c r="F26" i="18" s="1"/>
  <c r="F173" i="18"/>
  <c r="F175" i="18" s="1"/>
  <c r="F123" i="18"/>
  <c r="F122" i="18"/>
  <c r="H170" i="18"/>
  <c r="J170" i="18" s="1"/>
  <c r="H182" i="18"/>
  <c r="J182" i="18" s="1"/>
  <c r="F185" i="18"/>
  <c r="F187" i="18" s="1"/>
  <c r="H163" i="18"/>
  <c r="J163" i="18" s="1"/>
  <c r="F166" i="18"/>
  <c r="F168" i="18" s="1"/>
  <c r="F10" i="18"/>
  <c r="F9" i="18"/>
  <c r="A8" i="18"/>
  <c r="A16" i="18" s="1"/>
  <c r="A22" i="18" s="1"/>
  <c r="F31" i="18"/>
  <c r="F30" i="18"/>
  <c r="H109" i="18"/>
  <c r="J109" i="18" s="1"/>
  <c r="F113" i="18"/>
  <c r="F112" i="18"/>
  <c r="F57" i="18"/>
  <c r="F56" i="18"/>
  <c r="F55" i="18"/>
  <c r="F54" i="18"/>
  <c r="F53" i="18"/>
  <c r="F49" i="18"/>
  <c r="H37" i="18"/>
  <c r="J37" i="18" s="1"/>
  <c r="F42" i="18"/>
  <c r="F131" i="18"/>
  <c r="H126" i="18"/>
  <c r="J126" i="18" s="1"/>
  <c r="F252" i="18"/>
  <c r="F251" i="18"/>
  <c r="F239" i="18"/>
  <c r="F238" i="18"/>
  <c r="F259" i="18"/>
  <c r="F258" i="18"/>
  <c r="F274" i="18"/>
  <c r="F273" i="18"/>
  <c r="F218" i="18"/>
  <c r="F217" i="18"/>
  <c r="F202" i="18"/>
  <c r="F152" i="18"/>
  <c r="F106" i="18"/>
  <c r="F105" i="18"/>
  <c r="H102" i="18"/>
  <c r="J102" i="18" s="1"/>
  <c r="H198" i="18"/>
  <c r="J198" i="18" s="1"/>
  <c r="H192" i="18"/>
  <c r="J192" i="18" s="1"/>
  <c r="F196" i="18"/>
  <c r="H280" i="18"/>
  <c r="J280" i="18" s="1"/>
  <c r="F285" i="18"/>
  <c r="H119" i="18"/>
  <c r="J119" i="18" s="1"/>
  <c r="H133" i="18"/>
  <c r="J133" i="18" s="1"/>
  <c r="F138" i="18"/>
  <c r="F158" i="18"/>
  <c r="H154" i="18"/>
  <c r="J154" i="18" s="1"/>
  <c r="H140" i="18"/>
  <c r="J140" i="18" s="1"/>
  <c r="F145" i="18"/>
  <c r="H147" i="18"/>
  <c r="J147" i="18" s="1"/>
  <c r="H221" i="18"/>
  <c r="J221" i="18" s="1"/>
  <c r="F226" i="18"/>
  <c r="H242" i="18"/>
  <c r="J242" i="18" s="1"/>
  <c r="F247" i="18"/>
  <c r="H255" i="18"/>
  <c r="J255" i="18" s="1"/>
  <c r="H262" i="18"/>
  <c r="J262" i="18" s="1"/>
  <c r="F267" i="18"/>
  <c r="H270" i="18"/>
  <c r="J270" i="18" s="1"/>
  <c r="H214" i="18"/>
  <c r="J214" i="18" s="1"/>
  <c r="H207" i="18"/>
  <c r="J207" i="18" s="1"/>
  <c r="F212" i="18"/>
  <c r="H51" i="18"/>
  <c r="J51" i="18" s="1"/>
  <c r="H86" i="18"/>
  <c r="J86" i="18" s="1"/>
  <c r="F97" i="18"/>
  <c r="F91" i="18"/>
  <c r="H79" i="18"/>
  <c r="J79" i="18" s="1"/>
  <c r="F84" i="18"/>
  <c r="H44" i="18"/>
  <c r="J44" i="18" s="1"/>
  <c r="H60" i="18"/>
  <c r="J60" i="18" s="1"/>
  <c r="F65" i="18"/>
  <c r="F71" i="18"/>
  <c r="F77" i="18"/>
  <c r="J288" i="18" l="1"/>
  <c r="E4" i="21" s="1"/>
  <c r="E6" i="21" s="1"/>
  <c r="F6" i="20" s="1"/>
  <c r="F124" i="18"/>
  <c r="F14" i="18"/>
  <c r="F107" i="18"/>
  <c r="F32" i="18"/>
  <c r="F275" i="18"/>
  <c r="F240" i="18"/>
  <c r="F219" i="18"/>
  <c r="F260" i="18"/>
  <c r="F253" i="18"/>
  <c r="F114" i="18"/>
  <c r="F58" i="18"/>
  <c r="F180" i="18"/>
  <c r="A28" i="18"/>
  <c r="G6" i="20" l="1"/>
  <c r="F7" i="20"/>
  <c r="A37" i="18"/>
  <c r="H6" i="20" l="1"/>
  <c r="H7" i="20" s="1"/>
  <c r="G7" i="20"/>
  <c r="A44" i="18"/>
  <c r="A51" i="18" l="1"/>
  <c r="A60" i="18" s="1"/>
  <c r="A79" i="18" l="1"/>
  <c r="A86" i="18" s="1"/>
  <c r="A102" i="18" l="1"/>
  <c r="A109" i="18" s="1"/>
  <c r="A119" i="18" s="1"/>
  <c r="A126" i="18" s="1"/>
  <c r="A133" i="18" s="1"/>
  <c r="A140" i="18" s="1"/>
  <c r="A147" i="18" s="1"/>
  <c r="A154" i="18" s="1"/>
  <c r="A163" i="18" s="1"/>
  <c r="A170" i="18" s="1"/>
  <c r="A182" i="18" s="1"/>
  <c r="A192" i="18" s="1"/>
  <c r="A198" i="18" s="1"/>
  <c r="A207" i="18" s="1"/>
  <c r="A214" i="18" l="1"/>
  <c r="A221" i="18" s="1"/>
  <c r="A228" i="18" s="1"/>
  <c r="A236" i="18" s="1"/>
  <c r="A242" i="18" s="1"/>
  <c r="A249" i="18" s="1"/>
  <c r="A255" i="18" s="1"/>
  <c r="A262" i="18" s="1"/>
  <c r="A270" i="18" s="1"/>
  <c r="A280" i="18" s="1"/>
</calcChain>
</file>

<file path=xl/sharedStrings.xml><?xml version="1.0" encoding="utf-8"?>
<sst xmlns="http://schemas.openxmlformats.org/spreadsheetml/2006/main" count="989" uniqueCount="607">
  <si>
    <t>t</t>
  </si>
  <si>
    <t>ks</t>
  </si>
  <si>
    <t>m2</t>
  </si>
  <si>
    <t>Konštrukcie z hornín - prechodové vrstvy so zhutnením</t>
  </si>
  <si>
    <t>Konštrukcie z hornín - prechodové vrstvy so zhutnením zo sypanín kamenistých a balvanitých</t>
  </si>
  <si>
    <t>01040302</t>
  </si>
  <si>
    <t>0104030205</t>
  </si>
  <si>
    <t>m</t>
  </si>
  <si>
    <t>m3</t>
  </si>
  <si>
    <t>45.26.22</t>
  </si>
  <si>
    <t>Základové práce a vŕtanie vodných studní</t>
  </si>
  <si>
    <t>02010553</t>
  </si>
  <si>
    <t>Zlepšovanie základovej pôdy, drenážne vrstvy z geosyntetického materiálu</t>
  </si>
  <si>
    <t>0201055301</t>
  </si>
  <si>
    <t>Zlepšovanie základovej pôdy, drenážne vrstvy z geosyntetického materiálu - geotextílií</t>
  </si>
  <si>
    <t>ČASŤ STAVBY :</t>
  </si>
  <si>
    <t>KS:</t>
  </si>
  <si>
    <t>POLOŽKA</t>
  </si>
  <si>
    <t>VÝKAZ VÝMER</t>
  </si>
  <si>
    <t>M.J.</t>
  </si>
  <si>
    <t>MNOŽ.</t>
  </si>
  <si>
    <t>Č.</t>
  </si>
  <si>
    <t>KÓD SP</t>
  </si>
  <si>
    <t>KÓD SPP</t>
  </si>
  <si>
    <t>KÓD CPV</t>
  </si>
  <si>
    <t>45.11.11</t>
  </si>
  <si>
    <t>Demolačné práce</t>
  </si>
  <si>
    <t>05030261</t>
  </si>
  <si>
    <t>Odstránenie spevnených plôch vozoviek a doplňujúcich konštrukcií podkladov z betónu prostého</t>
  </si>
  <si>
    <t>0503026102</t>
  </si>
  <si>
    <t>Odstránenie spevnených plôch vozoviek a doplňujúcich konštrukcií podkladov z betónu prostého hr. nad 100 do 200 mm</t>
  </si>
  <si>
    <t>05030264</t>
  </si>
  <si>
    <t>Odstránenie spevnených plôch vozoviek a doplňujúcich konštrukcií podkladov z kameniva hrubého drveného</t>
  </si>
  <si>
    <t>0503026402</t>
  </si>
  <si>
    <t>Odstránenie spevnených plôch vozoviek a doplňujúcich konštrukcií podkladov z kameniva hrubého drveného hr. nad 100 do 200 mm</t>
  </si>
  <si>
    <t>05080200</t>
  </si>
  <si>
    <t>Doprava vybúraných hmôt vodorovná</t>
  </si>
  <si>
    <t>0508020003</t>
  </si>
  <si>
    <t>Doprava vybúraných hmôt vodorovná, nad 1 km</t>
  </si>
  <si>
    <t>05090362</t>
  </si>
  <si>
    <t>Doplňujúce práce, frézovanie bitúmenového krytu, podkladu</t>
  </si>
  <si>
    <t>0509036202</t>
  </si>
  <si>
    <t>Doplňujúce práce, frézovanie bitúmenového krytu, podkladu hr. 30 mm</t>
  </si>
  <si>
    <t>0509036203</t>
  </si>
  <si>
    <t>Doplňujúce práce, frézovanie bitúmenového krytu, podkladu hr. 40 mm</t>
  </si>
  <si>
    <t>0509036204</t>
  </si>
  <si>
    <t>Doplňujúce práce, frézovanie bitúmenového krytu, podkladu hr. 50 mm</t>
  </si>
  <si>
    <t>05090461</t>
  </si>
  <si>
    <t>Doplňujúce práce, diamantové rezanie betónového krytu, podkladu</t>
  </si>
  <si>
    <t>0509046103</t>
  </si>
  <si>
    <t>Doplňujúce práce, diamantové rezanie betónového krytu, podkladu hr. nad 150 do 200 mm</t>
  </si>
  <si>
    <t>05090462</t>
  </si>
  <si>
    <t>Doplňujúce práce, diamantové rezanie bitúmenového krytu, podkladu</t>
  </si>
  <si>
    <t>0509046201</t>
  </si>
  <si>
    <t>Doplňujúce práce, diamantové rezanie bitúmenového krytu, podkladu hr. do 50 mm</t>
  </si>
  <si>
    <t>0509046202</t>
  </si>
  <si>
    <t>Doplňujúce práce, diamantové rezanie bitúmenového krytu, podkladu hr nad 50 do 100 mm</t>
  </si>
  <si>
    <t xml:space="preserve">45.11.12 </t>
  </si>
  <si>
    <t>Úprava staveniska a vyčisťovacie práce</t>
  </si>
  <si>
    <t>01010104</t>
  </si>
  <si>
    <t>Pripravné práce, odstránenie porastov mačiny</t>
  </si>
  <si>
    <t>0101010401</t>
  </si>
  <si>
    <t>Pripravné práce, odstránenie porastov mačiny hr. do 100 mm</t>
  </si>
  <si>
    <t>01080102</t>
  </si>
  <si>
    <t>Povrchové úpravy terénu, úprava pláne so  zhutnením v násypoch</t>
  </si>
  <si>
    <t>0108010201</t>
  </si>
  <si>
    <t>Povrchové úpravy terénu, úprava pláne so  zhutnením v násypoch, tr.horniny 1-4</t>
  </si>
  <si>
    <t>01080300</t>
  </si>
  <si>
    <t>Povrchové úpravy terénu, úprava podložia</t>
  </si>
  <si>
    <t>0108030001</t>
  </si>
  <si>
    <t>Povrchové úpravy terénu, úprava podložia,  tr.horniny 1-4</t>
  </si>
  <si>
    <t>01020400</t>
  </si>
  <si>
    <t>Odkopávky a prekopávky komunikácií,železníc,plôch</t>
  </si>
  <si>
    <t>0102040007</t>
  </si>
  <si>
    <t>Odkopávky a prekopávky komunikácií,železníc,plôch, tr.horniny 1-4</t>
  </si>
  <si>
    <t>01080503</t>
  </si>
  <si>
    <t>Povrchové úpravy terénu, úpravy povrchov založením trávnika hydroosevom</t>
  </si>
  <si>
    <t>0108050302</t>
  </si>
  <si>
    <t>Povrchové úpravy terénu, úpravy povrchov založením trávnika hydroosevom na hlušinu</t>
  </si>
  <si>
    <t>01080811</t>
  </si>
  <si>
    <t>Povrchové úpravy terénu, sadenie, presádzanie, ošetrovanie, ochrana trávnika</t>
  </si>
  <si>
    <t>0108081102</t>
  </si>
  <si>
    <t>Povrchové úpravy terénu, sadenie, presádzanie, ošetrovanie, ochrana trávnika na svahu</t>
  </si>
  <si>
    <t xml:space="preserve">45.11.24 </t>
  </si>
  <si>
    <t>Výkopové práce</t>
  </si>
  <si>
    <t>45.11.27</t>
  </si>
  <si>
    <t>Terénne úpravy</t>
  </si>
  <si>
    <t>22010104</t>
  </si>
  <si>
    <t>Podkladné a krycie vrstvy bez spojiva nestmelené, štrkodrva</t>
  </si>
  <si>
    <t>22010201</t>
  </si>
  <si>
    <t>Podkladné a krycie vrstvy bez spojiva, spevnenie krajníc zo zeminy</t>
  </si>
  <si>
    <t>2201020101</t>
  </si>
  <si>
    <t>Podkladné a krycie vrstvy bez spojiva, spevnenie krajníc zo zeminy so zhutnením</t>
  </si>
  <si>
    <t>22010204</t>
  </si>
  <si>
    <t>Podkladné a krycie vrstvy bez spojiva, spevnenie krajníc, štrkodrva</t>
  </si>
  <si>
    <t>22020421</t>
  </si>
  <si>
    <t>Podkladné a krycie vrstvy s hydraulickým spojivom, cementobetónové jednovrstvové, kamenivo spevnené cementom</t>
  </si>
  <si>
    <t>2202042102</t>
  </si>
  <si>
    <t>Podkladné a krycie vrstvy s hydraulickým spojivom, cementobetónové jednovrstvové, kamenivo spevnené cementom KZC II</t>
  </si>
  <si>
    <t>22030329</t>
  </si>
  <si>
    <t>2203032903</t>
  </si>
  <si>
    <t>22030330</t>
  </si>
  <si>
    <t>Podkladné a krycie vrstvy z asfaltových zmesí, bitúmenové postreky, nátery, posypy spojovací postrek</t>
  </si>
  <si>
    <t>2203033003</t>
  </si>
  <si>
    <t>Podkladné a krycie vrstvy z asfaltových zmesí, bitúmenové postreky, nátery, posypy spojovací postrek z emulzie</t>
  </si>
  <si>
    <t>22030640</t>
  </si>
  <si>
    <t>Podkladné a krycie vrstvy z asfaltových zmesí, bitúmenové vrstvy, asfaltový betón</t>
  </si>
  <si>
    <t>2203064002</t>
  </si>
  <si>
    <t>Podkladné a krycie vrstvy z asfaltových zmesí, bitúmenové vrstvy, asfaltový betón  triedy II</t>
  </si>
  <si>
    <t>22040852</t>
  </si>
  <si>
    <t>2204085201</t>
  </si>
  <si>
    <t>22250464</t>
  </si>
  <si>
    <t>Doplňujúce konštrukcie,  ochranné zariadenia, smerové stĺpiky</t>
  </si>
  <si>
    <t>45.23.32</t>
  </si>
  <si>
    <t>Práce na vrchnej stavbe diaľníc, ciest, ulíc, chodníkov a nekrytých parkovísk</t>
  </si>
  <si>
    <t>45.23.33</t>
  </si>
  <si>
    <t>Podkladné a krycie vrstvy z asfaltových zmesí, bitúmenové postreky, nátery,posypy infiltračný postrek</t>
  </si>
  <si>
    <t>Podkladné a krycie vrstvy z asfaltových zmesí, bitúmenové postreky, nátery,posypy infiltračný postrek z emulzie</t>
  </si>
  <si>
    <t>22030539</t>
  </si>
  <si>
    <t>Podkladné a krycie vrstvy z asfaltových zmesí s bitúmenovým spojivom, kamenivo obaľované asfaltom</t>
  </si>
  <si>
    <t>2203053902</t>
  </si>
  <si>
    <t>Podkladné a krycie vrstvy z asfaltových zmesí s bitúmenovým spojivom, kamenivo obaľované asfaltom triedy II</t>
  </si>
  <si>
    <t>Práce na spodnej stavby diaľnic, ciest, ulíc a chodníkov a nekrytých parkovísk</t>
  </si>
  <si>
    <t>frézovanie obrusnej vrstvy, celkovej hr. 50 mm:</t>
  </si>
  <si>
    <t>pred mostom:</t>
  </si>
  <si>
    <t>za mostom:</t>
  </si>
  <si>
    <t>frézovanie ložnej vrstvy, celkovej hr. 70 mm:</t>
  </si>
  <si>
    <t>odstránenie hydraul. stmel. vrstvy hr. 180 mm</t>
  </si>
  <si>
    <t>odstránenie nestmel. vrstvy hr. 200 mm</t>
  </si>
  <si>
    <t>zarezanie pri odstránení hydraul. stmel. vrstvy hr. 180 mm</t>
  </si>
  <si>
    <t>zarezanie pred frézovaním obrusnej vrstvy, celkovej hr. 50 mm:</t>
  </si>
  <si>
    <t>zarezanie pred frézovaním ložnej vrstvy, celkovej hr. 70 mm:</t>
  </si>
  <si>
    <r>
      <t>asfaltový betón pre obrusnu vrstvu AC</t>
    </r>
    <r>
      <rPr>
        <i/>
        <u/>
        <vertAlign val="subscript"/>
        <sz val="10"/>
        <rFont val="Arial CE"/>
        <family val="2"/>
        <charset val="238"/>
      </rPr>
      <t>O</t>
    </r>
    <r>
      <rPr>
        <i/>
        <u/>
        <sz val="10"/>
        <rFont val="Arial CE"/>
        <family val="2"/>
        <charset val="238"/>
      </rPr>
      <t xml:space="preserve"> 11-II hr. 50 mm</t>
    </r>
  </si>
  <si>
    <t>spojovací postrek emulzný PS CB 0,5 kg/m2</t>
  </si>
  <si>
    <t xml:space="preserve">pred mostom: </t>
  </si>
  <si>
    <t xml:space="preserve">za mostom: </t>
  </si>
  <si>
    <r>
      <t>asfaltový betón pre hornú podkladovú vrstvu AC</t>
    </r>
    <r>
      <rPr>
        <i/>
        <u/>
        <vertAlign val="subscript"/>
        <sz val="10"/>
        <rFont val="Arial CE"/>
        <family val="2"/>
        <charset val="238"/>
      </rPr>
      <t>P</t>
    </r>
    <r>
      <rPr>
        <i/>
        <u/>
        <sz val="10"/>
        <rFont val="Arial CE"/>
        <family val="2"/>
        <charset val="238"/>
      </rPr>
      <t xml:space="preserve"> 16-II hr. 70 mm</t>
    </r>
  </si>
  <si>
    <t>infiltračný postrek emulzný PI CB 1,5 kg/m2</t>
  </si>
  <si>
    <t>cementom stmelená zmes CBGM C5/6 hr. 180 mm</t>
  </si>
  <si>
    <t>nestmelená vrstva zo štrkodrviny ŠD 31,5 Gc hr. 200 mm</t>
  </si>
  <si>
    <t>spevnenie krajníc štrkodrvinou 16/32 hr. 100 mm</t>
  </si>
  <si>
    <t>trvale pružná asfaltová zálievka s predtesnením na styku novej a pôvodnej vozovky</t>
  </si>
  <si>
    <t>úprava podložia pod aktívnou zónou</t>
  </si>
  <si>
    <t>úprava konštrukčnej pláne</t>
  </si>
  <si>
    <t>výkop pre teleso + aktívnu zónu</t>
  </si>
  <si>
    <t>separačná geotextília pod aktívnou zónou</t>
  </si>
  <si>
    <t>odstrávnenie hr. 150 mm</t>
  </si>
  <si>
    <t>pred mostom: 56,00*2=</t>
  </si>
  <si>
    <t>za mostom: 17,05*2=</t>
  </si>
  <si>
    <t>pred mostom: 4,85+38,93=</t>
  </si>
  <si>
    <t>za mostom: 4,26+6,03=</t>
  </si>
  <si>
    <t>01080402</t>
  </si>
  <si>
    <t>Povrchové úpravy terénu, svahovanie v násypoch</t>
  </si>
  <si>
    <t>0108040201</t>
  </si>
  <si>
    <t>Povrchové úpravy terénu, svahovanie v násypoch, tr.horniny 1-4</t>
  </si>
  <si>
    <t>pred mostom: 107,80*0,05=</t>
  </si>
  <si>
    <t>za mostom: 59,50*0,05=</t>
  </si>
  <si>
    <t>pred mostom: 90,03*0,07=</t>
  </si>
  <si>
    <t>za mostom: 58,42*0,07=</t>
  </si>
  <si>
    <t>pred mostom: 93,12*0,18=</t>
  </si>
  <si>
    <t>za mostom: 58,80*0,18=</t>
  </si>
  <si>
    <t>pred mostom: 105,44*0,20=</t>
  </si>
  <si>
    <t>za mostom: 64,60*0,20=</t>
  </si>
  <si>
    <t>pred mostom: 16,40*0,10=</t>
  </si>
  <si>
    <t xml:space="preserve">za mostom: 15,10*0,10= </t>
  </si>
  <si>
    <t>01040202</t>
  </si>
  <si>
    <t>Konštrukcie z hornín - násypy so zhutnením</t>
  </si>
  <si>
    <t>0104020201</t>
  </si>
  <si>
    <t>Konštrukcie z hornín - násypy so zhutnením zo zemín súdržných</t>
  </si>
  <si>
    <t>45.00.00</t>
  </si>
  <si>
    <t>Všeobecné položky v procese obstarávania stavieb</t>
  </si>
  <si>
    <t>00010402</t>
  </si>
  <si>
    <t>Zmluvné požiadavky poplatky za zemník</t>
  </si>
  <si>
    <t>45.11.25</t>
  </si>
  <si>
    <t>Presun zemín</t>
  </si>
  <si>
    <t>01060204</t>
  </si>
  <si>
    <t>Premiestnenie  vodorovné nad 3 000 m</t>
  </si>
  <si>
    <t>0106020401</t>
  </si>
  <si>
    <t>Premiestnenie  výkopku resp. rúbaniny, vodorovné nad 3 000 m, tr. horniny 1-4</t>
  </si>
  <si>
    <t>odstránené hydraul. stmel. vrstvy hr. 180 mm: 132,70*0,440=</t>
  </si>
  <si>
    <t>odstránené nestmel. vrstvy hr. 200 mm: 142,35*0,235=</t>
  </si>
  <si>
    <t>odstránená obrusná vrstva frézovaním hr. 50 mm: 148,50*0,127=</t>
  </si>
  <si>
    <t>odstránená ložná vrstva hr. 30 mm frézovaním: 129,60*0,076=</t>
  </si>
  <si>
    <t>odstránená ložná vrstva hr. 40 mm frézovaním: 129,60*0,102=</t>
  </si>
  <si>
    <t>odvoz odtrávnenia na skládku</t>
  </si>
  <si>
    <t>pred mostom: 56,00*0,15=</t>
  </si>
  <si>
    <t>za mostom: 17,05*0,15=</t>
  </si>
  <si>
    <t>00010404</t>
  </si>
  <si>
    <t>Zmluvné požiadavky poplatky za skládky travín, krovia, mačiny,lesnej hrabanky</t>
  </si>
  <si>
    <t>odtrávnenie na skládku</t>
  </si>
  <si>
    <t>dosypy materiálom z výkopu</t>
  </si>
  <si>
    <t>01060202</t>
  </si>
  <si>
    <t>Premiestnenie  , vodorovné do 1 000 m</t>
  </si>
  <si>
    <t>0106020201</t>
  </si>
  <si>
    <t>Premiestnenie  výkopku resp. rúbaniny, vodorovné do 1 000 m, tr. horniny 1-4</t>
  </si>
  <si>
    <t>01060700</t>
  </si>
  <si>
    <t>Premiestnenie  - nakladanie, prekladanie, vykladanie</t>
  </si>
  <si>
    <t>0106070007</t>
  </si>
  <si>
    <t>Premiestnenie  výkopku resp. rúbaniny - nakladanie, prekladanie, vykladanie,  tr. horniny 1-4</t>
  </si>
  <si>
    <t>00010403</t>
  </si>
  <si>
    <t>Zmluvné požiadavky poplatky za skládky zeminy</t>
  </si>
  <si>
    <t>00010401</t>
  </si>
  <si>
    <t>Zmluvné požiadavky poplatky za skládky vybúraných hmôt a sutí</t>
  </si>
  <si>
    <t>materiál z výkopu na miesto dočasného uloženia a späť</t>
  </si>
  <si>
    <t>pred mostom: 3,05*2=</t>
  </si>
  <si>
    <t>materiál z výkopu z miesta dočasného uloženia</t>
  </si>
  <si>
    <t>odvoz prebytku materiálu z výkopu na skládku</t>
  </si>
  <si>
    <t>pred mostom: 43,78-3,05=</t>
  </si>
  <si>
    <t>materiál z výkopu na skládku</t>
  </si>
  <si>
    <t>materiál pre dosypávku krajníc zo zemníka</t>
  </si>
  <si>
    <t>dovoz materiálu pre dosypávku krajníc zo zemníka</t>
  </si>
  <si>
    <t>spolu:</t>
  </si>
  <si>
    <t>stĺpiky</t>
  </si>
  <si>
    <t>stĺpiky modré:</t>
  </si>
  <si>
    <t>dosypávka krajníc nenamŕzavým materiálom zo zemníka</t>
  </si>
  <si>
    <t>aktívna zóna hr. 500 mm z nakupovaného jednicového materiálu</t>
  </si>
  <si>
    <t>120-00  Úprava cesty III/2561</t>
  </si>
  <si>
    <t>202-00  Most ev. č. 2561-3, C III/2561 v km 6,450</t>
  </si>
  <si>
    <t>Dopravné značenie - dočasné (prenosné)</t>
  </si>
  <si>
    <t>kpl</t>
  </si>
  <si>
    <t>I. etapa</t>
  </si>
  <si>
    <t>dočasné zvislé dopravné značenie v zmysle PD: 20 kusov</t>
  </si>
  <si>
    <t>prekrytie existujúcich dopravných značiek v zmysle PD: 2 kusy</t>
  </si>
  <si>
    <t>II. etapa</t>
  </si>
  <si>
    <t>dočasné zvislé dopravné značenie v zmysle PD: 21 kusov</t>
  </si>
  <si>
    <t>prekrytie existujúcich dopravných značiek v zmysle PD: 1 kus</t>
  </si>
  <si>
    <t xml:space="preserve">kamenná časť spodnej stavby = 7,01m3*1,905t/m3 = </t>
  </si>
  <si>
    <t>železobetón spodná stavba + NK = 49,26m3*2,40t/m3 =</t>
  </si>
  <si>
    <t>zvodidlo = 12,10m*0,054t/m =</t>
  </si>
  <si>
    <t>vyfrézovaný materiál = 41,2*0,102+41,25*0,127 =</t>
  </si>
  <si>
    <t>spolu</t>
  </si>
  <si>
    <t>prebytočná zemina</t>
  </si>
  <si>
    <t>výkopy nezapažené</t>
  </si>
  <si>
    <t>výkopy rýh</t>
  </si>
  <si>
    <t>odpočet spätných zásypov</t>
  </si>
  <si>
    <t>05010202</t>
  </si>
  <si>
    <t>Búranie konštrukcií muriva, priečok, pilierov,prekladov kamenných</t>
  </si>
  <si>
    <t>časť krídel a opôr</t>
  </si>
  <si>
    <t>opora 1 = 6,481*0,60*0,30+1,173*0,60*0,30*2+(1,80+1,50)*0,30*2,60 =</t>
  </si>
  <si>
    <t>opora 2 = 6,593*0,60*0,30+0,925*0,60*0,30*2+(1,20+0,50)*0,30*2,60 =</t>
  </si>
  <si>
    <t>05010205</t>
  </si>
  <si>
    <t>Búranie konštrukcií muriva, priečok, pilierov,prekladov železobetónových</t>
  </si>
  <si>
    <t>opora 1 = 5,881*0,60*1,173+6,481*0,50*0,520+(1,80+1,50)*0,50*2,60 =</t>
  </si>
  <si>
    <t>opora 2 = 5,993*0,60*0,925+6,593*0,50*0,67+(1,20+0,50)*0,50*2,60 =</t>
  </si>
  <si>
    <t>05010401</t>
  </si>
  <si>
    <t>Búranie konštrukcií trámov, nosníkov, prievlakov, konzolových prvkov z dielcov prefabrikovaných</t>
  </si>
  <si>
    <t>prefabrikáty NK = 0,275*7,90*5+0,25*7,90*2 =</t>
  </si>
  <si>
    <t>05010405</t>
  </si>
  <si>
    <t>Búranie konštrukcií trámov, nosníkov, prievlakov, konzolových prvkov železobetónových</t>
  </si>
  <si>
    <t>spriah.doska a rímsa = (2,0+2,20)/2*7,90 =</t>
  </si>
  <si>
    <t>05030407</t>
  </si>
  <si>
    <t>Odstránenie spevnených plôch vozoviek a doplňujúcich konštrukcií zvodidiel, zábradlia, stien, oplotení kovových</t>
  </si>
  <si>
    <t>zvodidlo na moste = 10,70+10,0 =</t>
  </si>
  <si>
    <t>(skládka vzdialená 21km)</t>
  </si>
  <si>
    <t>vozovka na moste (plocha z ACAD-u)</t>
  </si>
  <si>
    <t>01030102</t>
  </si>
  <si>
    <t>Hĺbené vykopávky jám nezapažených</t>
  </si>
  <si>
    <t>0103010207</t>
  </si>
  <si>
    <t>Hĺbené vykopávky jám nezapažených, tr. horniny 1-4</t>
  </si>
  <si>
    <t>opora 1 = (8,0+43,0)/2*2,65+(8,60+46,90)/2*2,60-(2,57+1,33) =</t>
  </si>
  <si>
    <t>opora 2 = (7,50+34,80)/2*2,30+(7,0+39,30)/2*2,55-(4,29+2,21) =</t>
  </si>
  <si>
    <t>úprava toku = (23,3*0,7)+(7,23*0,7*0,5) =</t>
  </si>
  <si>
    <t>01030201</t>
  </si>
  <si>
    <t>Hĺbené vykopávky rýh š. do 600 mm</t>
  </si>
  <si>
    <t>0103020107</t>
  </si>
  <si>
    <t>Hĺbené vykopávky rýh š. do 600 mm, tr. horniny 1-4</t>
  </si>
  <si>
    <t>stabilizačné prahy = 1,40*0,60*2 =</t>
  </si>
  <si>
    <t>úprava toku = 0,30*0,30*2*10,0 =</t>
  </si>
  <si>
    <t>prechodová oblasť za oporami</t>
  </si>
  <si>
    <t>opora 1 = 1,30*6,55 =</t>
  </si>
  <si>
    <t>opora 2 = 1,45*6,55 =</t>
  </si>
  <si>
    <t>01040402</t>
  </si>
  <si>
    <t>Konštrukcie z hornín - zásypy so zhutnením</t>
  </si>
  <si>
    <t>0104040207</t>
  </si>
  <si>
    <t>Konštrukcie z hornín - zásypy so zhutnením, tr. horniny 1-4</t>
  </si>
  <si>
    <t>zásyp spodnej stavby po dobudovaní</t>
  </si>
  <si>
    <t>opora 1 = 135,83 (výkop)-11,14(ŠD)-10,28(krídla) =</t>
  </si>
  <si>
    <t>opora 2 = 101,18 (výkop)-10,05(ŠD)-9,63(krídla) =</t>
  </si>
  <si>
    <t>úprava toku = (12,5*0,7)+(7,2*0,7*0,5) =</t>
  </si>
  <si>
    <t>zemina na spätné zásypy  - odvoz na medziskládku a späť</t>
  </si>
  <si>
    <t>spätný zásyp spodnej stavby</t>
  </si>
  <si>
    <t>úprava toku</t>
  </si>
  <si>
    <t>spolu na medziskládku</t>
  </si>
  <si>
    <t>z medziskládky</t>
  </si>
  <si>
    <t>odvoz prebytočnej zeminy na skládku (21km)</t>
  </si>
  <si>
    <t>zemina na spätné zásypy z medziskládky</t>
  </si>
  <si>
    <t>45.22.11</t>
  </si>
  <si>
    <t>Stavebné práce na mostoch</t>
  </si>
  <si>
    <t>11010101</t>
  </si>
  <si>
    <t>Základy, pásy z betónu prostého</t>
  </si>
  <si>
    <t>1101010107</t>
  </si>
  <si>
    <t>Základy, pásy z betónu prostého, tr. C 30/37 (B 35)</t>
  </si>
  <si>
    <t>mostné krídla</t>
  </si>
  <si>
    <t>opora 1 = (3,58+2,92)*0,70 =</t>
  </si>
  <si>
    <t>opora 2 = (3,31+3,06)*0,70 =</t>
  </si>
  <si>
    <t>11010111</t>
  </si>
  <si>
    <t>Základy, pásy, debnenie tradičné</t>
  </si>
  <si>
    <t>1101011101</t>
  </si>
  <si>
    <t>Základy, pásy, debnenie tradičné drevené</t>
  </si>
  <si>
    <t>opora 1 = (7,20+6,20)*0,70 =</t>
  </si>
  <si>
    <t>opora 2 = (6,80+6,40)*0,70 =</t>
  </si>
  <si>
    <t>11050201</t>
  </si>
  <si>
    <t>Zvislé konštrukcie inžinierskych stavieb, opory z betónu prostého</t>
  </si>
  <si>
    <t>1105020107</t>
  </si>
  <si>
    <t>Zvislé konštrukcie inžinierskych stavieb, opory z betónu prostého, tr. C 30/37 (B 35)</t>
  </si>
  <si>
    <t>nadbetónovanie opôr</t>
  </si>
  <si>
    <t>opora 1 = 1,474*0,078*7,34 =</t>
  </si>
  <si>
    <t>opora 2 = 1,525*0,203*7,34 =</t>
  </si>
  <si>
    <t>drieky mostných krídel</t>
  </si>
  <si>
    <t>opora 1 = 1,06*2,30+1,22*2,70 =</t>
  </si>
  <si>
    <t>opora 2 = 1,12*2,60+0,98*2,30 =</t>
  </si>
  <si>
    <t>11050202</t>
  </si>
  <si>
    <t>Zvislé konštrukcie inžinierskych stavieb, opory z betónu železového</t>
  </si>
  <si>
    <t>1105020207</t>
  </si>
  <si>
    <t>Zvislé konštrukcie inžinierskych stavieb, opory z betónu železového, tr. C 30/37 (B 35)</t>
  </si>
  <si>
    <t>úložné prahy opôr</t>
  </si>
  <si>
    <t>opora 1 = 1,40*7,34-0,077*5,54 =</t>
  </si>
  <si>
    <t>opora 2 = 1,47*7,34-0,073*5,54 =</t>
  </si>
  <si>
    <t>pracovné a dilatačné škáry vyplnené pružným tmelom a opatrené izoláciou v zmysle PD</t>
  </si>
  <si>
    <t>11050211</t>
  </si>
  <si>
    <t>Zvislé konštrukcie inžinierskych stavieb, opory, debnenie tradičné</t>
  </si>
  <si>
    <t>1105021101</t>
  </si>
  <si>
    <t>Zvislé konštrukcie inžinierskych stavieb, opory, debnenie tradičné drevené</t>
  </si>
  <si>
    <t>opora 1</t>
  </si>
  <si>
    <t>nadbetónovanie opory = 0,078*7,466*2+0,156*1,474 =</t>
  </si>
  <si>
    <t>úložný prah = 1,40*2+2,65*7,466 =</t>
  </si>
  <si>
    <t>driek krídel = 1,539*2,30+1,719*2,22+1,755*2,70+1,944*2,78+0,11+0,19+1,06+1,22 =</t>
  </si>
  <si>
    <t>opora 2</t>
  </si>
  <si>
    <t>nadbetónovanie opory = 0,203*7,481*2+0,284*1,565+0,122*1,485 =</t>
  </si>
  <si>
    <t>úložný prah = 1,47*2+2,65*7,481 =</t>
  </si>
  <si>
    <t>driek krídel = 1,592*2,60+1,779*2,52+1,424*2,30+1,651*2,38+0,08+0,02+1,12+0,98 =</t>
  </si>
  <si>
    <t>11050221</t>
  </si>
  <si>
    <t>Zvislé konštrukcie inžinierskych stavieb, opory, výstuž z betonárskej ocele</t>
  </si>
  <si>
    <t>1105022106</t>
  </si>
  <si>
    <t>Zvislé konštrukcie inžinierskych stavieb, opory, výstuž z betonárskej ocele 10505</t>
  </si>
  <si>
    <t>OCEĽ B 500B</t>
  </si>
  <si>
    <t>opora 1 = 935,60*0,001 =</t>
  </si>
  <si>
    <t>opora 2 = 942,80*0,001 =</t>
  </si>
  <si>
    <t>trny pre prechodovú dosku s povrchovou úpravou podľa PD</t>
  </si>
  <si>
    <t>11050602</t>
  </si>
  <si>
    <t>Zvislé konštrukcie inžinierskych stavieb, rímsy z betónu železového</t>
  </si>
  <si>
    <t>1105060208</t>
  </si>
  <si>
    <t>Zvislé konštrukcie inžinierskych stavieb, rímsy z betónu železového, tr. C 35/45 (B 45)</t>
  </si>
  <si>
    <t>R1 = 0,281*(3,147+7,98+3,15) =</t>
  </si>
  <si>
    <t>R2 = 0,281*(2,87+7,96+2,747) =</t>
  </si>
  <si>
    <t>pracovné škáry vyplnené pružným tmelom vrátane penetračného náteru na zvýšenie priľnavosti</t>
  </si>
  <si>
    <t>11050611</t>
  </si>
  <si>
    <t>Zvislé konštrukcie inžinierskych stavieb, rímsy, debnenie tradičné</t>
  </si>
  <si>
    <t>1105061101</t>
  </si>
  <si>
    <t>Zvislé konštrukcie inžinierskych stavieb, rímsy, debnenie tradičné drevené</t>
  </si>
  <si>
    <t>R1 = 0,281*4+1,14*14,28 =</t>
  </si>
  <si>
    <t>R2 = 0,281*4+1,14*13,58 =</t>
  </si>
  <si>
    <t>lešenie pod debnenie rímsy: 14,28+13,58=27,86m</t>
  </si>
  <si>
    <t>11050621</t>
  </si>
  <si>
    <t>Zvislé konštrukcie inžinierskych stavieb, rímsy, výstuž z betonárskej ocele</t>
  </si>
  <si>
    <t>1105062106</t>
  </si>
  <si>
    <t>Zvislé konštrukcie inžinierskych stavieb, rímsy, výstuž z betonárskej ocele 10505</t>
  </si>
  <si>
    <t>R1+R2 = 1016,0*0,001 =</t>
  </si>
  <si>
    <t>11080102</t>
  </si>
  <si>
    <t xml:space="preserve">Vodorovné nosné konštrukcie inžinierskych stavieb, prechodové dosky z betónu železového </t>
  </si>
  <si>
    <t>1108010207</t>
  </si>
  <si>
    <t>Vodorovné nosné konštrukcie inžinierskych stavieb, prechodové dosky  z betónu železového, tr. C 30/37 (B 35)</t>
  </si>
  <si>
    <t>opora 1 = 0,723*5,50 =</t>
  </si>
  <si>
    <t>opora 2 = 0,723*5,50 =</t>
  </si>
  <si>
    <t>podkladný betón C 8/10</t>
  </si>
  <si>
    <t>opora 1 = 0,285*5,70 =</t>
  </si>
  <si>
    <t>opora 2 = 0,285*5,70 =</t>
  </si>
  <si>
    <t>11080111</t>
  </si>
  <si>
    <t>Vodorovné nosné konštrukcie inžinierskych stavieb, prechodové dosky, debnenie tradičné</t>
  </si>
  <si>
    <t>1108011101</t>
  </si>
  <si>
    <t>Vodorovné nosné konštrukcie inžinierskych stavieb, prechodové dosky, debnenie tradičné drevené</t>
  </si>
  <si>
    <t>opora 1 = 0,285*2+0,24*5,60 =</t>
  </si>
  <si>
    <t>opora 2 = 0,285*2+0,24*5,60 =</t>
  </si>
  <si>
    <t>podkladný betón</t>
  </si>
  <si>
    <t>opora 1 = 11,70*0,1 =</t>
  </si>
  <si>
    <t>opora 2 = 11,70*0,1 =</t>
  </si>
  <si>
    <t>11080121</t>
  </si>
  <si>
    <t>Vodorovné nosné konštrukcie inžinierskych stavieb, prechodové dosky, výstuž z betonárskej ocele</t>
  </si>
  <si>
    <t>1108012106</t>
  </si>
  <si>
    <t>Vodorovné nosné konštrukcie inžinierskych stavieb, prechodové dosky, výstuž z betonárskej ocele 10505</t>
  </si>
  <si>
    <t>opora 1 = 534,20*0,001 =</t>
  </si>
  <si>
    <t>opora 2 = 534,20*0,001 =</t>
  </si>
  <si>
    <t>11080202</t>
  </si>
  <si>
    <t>Vodorovné nosné konštrukcie inžinierskych stavieb, mostné dosky z betónu železového</t>
  </si>
  <si>
    <t>1108020208</t>
  </si>
  <si>
    <t>Vodorovné nosné konštrukcie inžinierskych stavieb, mostné dosky  z betónu železového, tr. C 35/45 (B 45)</t>
  </si>
  <si>
    <t>spriahovacia doska = 0,955*7,959 =</t>
  </si>
  <si>
    <t>objem medzi prefabrikátmi a spriah.doskou = 0,147*8*7,40 =</t>
  </si>
  <si>
    <t>priečnik op.1 = 0,132*7,42 =</t>
  </si>
  <si>
    <t>priečnik op.2 = 0,132*7,42 =</t>
  </si>
  <si>
    <t>11080211</t>
  </si>
  <si>
    <t>Vodorovné nosné konštrukcie inžinierskych stavieb, mostné dosky, debnenie tradičné</t>
  </si>
  <si>
    <t>1108021101</t>
  </si>
  <si>
    <t>Vodorovné nosné konštrukcie inžinierskych stavieb, mostné dosky, debnenie tradičné drevené</t>
  </si>
  <si>
    <t>spriahovacia doska = 0,97*2+0,14*7,959*2 =</t>
  </si>
  <si>
    <t>priečnik op.1 = 0,40*(0,33+7,547+0,33) =</t>
  </si>
  <si>
    <t>priečnik op.2 = 0,40*(0,33+7,547+0,33) =</t>
  </si>
  <si>
    <t>škáry medzi nosníkmi = 7,40*0,10*8 =</t>
  </si>
  <si>
    <t>11080221</t>
  </si>
  <si>
    <t>Vodorovné nosné konštrukcie inžinierskych stavieb, mostné dosky, výstuž z betonárskej ocele</t>
  </si>
  <si>
    <t>1108022106</t>
  </si>
  <si>
    <t>Vodorovné nosné konštrukcie inžinierskych stavieb, mostné dosky, výstuž z betonárskej ocele 10505</t>
  </si>
  <si>
    <t>priečniky, spriahovacia doska = 1791,10*0,001 =</t>
  </si>
  <si>
    <t>15080208</t>
  </si>
  <si>
    <t>Vodorovné nosné konštrukcie pre mostné stavby, nosníky z dielcov žel. betónových predpätých</t>
  </si>
  <si>
    <t>(čistý objem betónu)</t>
  </si>
  <si>
    <t>0,241m2*7,40*2+0,187m2*7,40*7 =</t>
  </si>
  <si>
    <t>21080404</t>
  </si>
  <si>
    <t>Vodorovné nosné konštrukcie, kĺby a ložiská z lepenky a plastov</t>
  </si>
  <si>
    <t>2108040402</t>
  </si>
  <si>
    <t>Vodorovné nosné konštrukcie, kĺby a ložiská z lepenky a plastov, zvislé zaťaženie      do 2,5 MN</t>
  </si>
  <si>
    <t>21080409</t>
  </si>
  <si>
    <t>Vodorovné nosné konštrukcie, kĺby a ložiská, kĺb zo železobetónu</t>
  </si>
  <si>
    <t>2108040901</t>
  </si>
  <si>
    <t>Vodorovné nosné konštrukcie, kĺby a ložiská, kĺb zo železobetónu, zvislé zaťaženie do 1 MN</t>
  </si>
  <si>
    <t>kĺb prechodovej dosky</t>
  </si>
  <si>
    <t>5,60*2 =</t>
  </si>
  <si>
    <t>21250106</t>
  </si>
  <si>
    <t>Doplňujúce konštrukcie, zvodidlá oceľové</t>
  </si>
  <si>
    <t>2125010602</t>
  </si>
  <si>
    <t>Doplňujúce konštrukcie, zvodidlá oceľové zábradeľné</t>
  </si>
  <si>
    <t>R1 = 1,50+5*2,0+1,50 =</t>
  </si>
  <si>
    <t>R2 = 2*1,50+4*2,0+1,50 =</t>
  </si>
  <si>
    <t>(kotevné platne je potrebné osadiť do vrstvy plastmalty a utesniť tmelom)</t>
  </si>
  <si>
    <t>s povrchovou úpravou podľa PD</t>
  </si>
  <si>
    <t>21250422</t>
  </si>
  <si>
    <t>Doplňujúce konštrukcie, dilatačné zariadenia, výplň dilatačných škár</t>
  </si>
  <si>
    <t>2125042204</t>
  </si>
  <si>
    <t>Doplňujúce konštrukcie, dilatačné zariadenia, výplň dilatačných škár z polystyrénu</t>
  </si>
  <si>
    <t>hrúbky 20mm</t>
  </si>
  <si>
    <t>medzi oporou a mostným krídlom = (1,27+1,33+1,39+1,31)*1,017 =</t>
  </si>
  <si>
    <t>medzi oporou a prechod.doskou = 0,10*4+0,55*5,60*2 =</t>
  </si>
  <si>
    <t>21250906</t>
  </si>
  <si>
    <t>Doplňujúce konštrukcie, drobné zariadenia oceľové</t>
  </si>
  <si>
    <t>kotvenie rímsy (hmotnosť 0,50 kg/ks) = 29+27 =</t>
  </si>
  <si>
    <t>Podkladné a krycie vrstvy z asfaltových zmesí, bitúmenové postreky, nátery, posypy infiltračný postrek</t>
  </si>
  <si>
    <t>Podkladné a krycie vrstvy z asfaltových zmesí, bitúmenové postreky, nátery, posypy infiltračný postrek z emulzie</t>
  </si>
  <si>
    <t xml:space="preserve">spojenie izolácie a ložnej vrstvy vozovky </t>
  </si>
  <si>
    <t>na moste = 6,50*7,80 =</t>
  </si>
  <si>
    <t xml:space="preserve">spojenie ložnej a obrusnej vrstvy vozovky </t>
  </si>
  <si>
    <t>2203064001</t>
  </si>
  <si>
    <t>Podkladné a krycie vrstvy z asfaltových zmesí, bitúmenové vrstvy, asfaltový betón  triedy I</t>
  </si>
  <si>
    <t>obrusná vrstva vozovky - Aco 11-II</t>
  </si>
  <si>
    <t>na moste = 6,50*7,80*0,040 =</t>
  </si>
  <si>
    <t>ložná vrstva vozovky - Acl 16-II</t>
  </si>
  <si>
    <t>na moste = 6,50*7,80*0,045 =</t>
  </si>
  <si>
    <t>Kryty dláždené,chodníkov komunikácií,rigolov - úprava škár pri opravách a vyplnenie škár elastickou zálievkou</t>
  </si>
  <si>
    <t>Kryty dláždené,chodníkov komunikácií,rigolov - úprava škár pri opravách a vyplnenie škár elastickou zálievkou s predtesnením</t>
  </si>
  <si>
    <t>styk rímsy a vozovky = 14,28+13,58 =</t>
  </si>
  <si>
    <t>styk prechodovej dosky a opory = 5,60*2 =</t>
  </si>
  <si>
    <t>22250184</t>
  </si>
  <si>
    <t>Doplňujúce konštrukcie,  zábradlie , plastové</t>
  </si>
  <si>
    <t>2225018401</t>
  </si>
  <si>
    <t>Doplňujúce konštrukcie, zábradlie plastové, mostov a múrov</t>
  </si>
  <si>
    <t>kompozitné zábradlie na obslužnom schodisku (s nerezovými kotevnými platňami)</t>
  </si>
  <si>
    <t xml:space="preserve">opora 2 = </t>
  </si>
  <si>
    <t>kotevné platne je potrebné osadiť do vrstvy plastmalty a utesniť tmelom</t>
  </si>
  <si>
    <t>22250671</t>
  </si>
  <si>
    <t>Doplňujúce konštrukcie,  zvislé dopravné značky, normálny alebo zväčšený rozmer</t>
  </si>
  <si>
    <t>2225067106</t>
  </si>
  <si>
    <t>Doplňujúce konštrukcie,  zvislé dopravné značky, normálny alebo zväčšený rozmer hliníkové reflexné</t>
  </si>
  <si>
    <t>evidenčné číslo mosta - osadené na moste</t>
  </si>
  <si>
    <t>22250980</t>
  </si>
  <si>
    <t>Doplňujúce konštrukcie,  obrubníky chodníkové</t>
  </si>
  <si>
    <t>2225098001</t>
  </si>
  <si>
    <t>Doplňujúce konštrukcie,  obrubníky chodníkové betónové</t>
  </si>
  <si>
    <t>za mostnými krídlami</t>
  </si>
  <si>
    <t>opora 1 = 2*2,75 =</t>
  </si>
  <si>
    <t>opora 2 = 2,75+4,85 =</t>
  </si>
  <si>
    <t>22010102</t>
  </si>
  <si>
    <t>Podkladné a krycie vrstvy bez spojiva nestmelené, štrkopiesok</t>
  </si>
  <si>
    <t>podklad pod obslužné schodisko</t>
  </si>
  <si>
    <t>opora 2 = (0,50+3,90+0,50)*0,80*0,10 =</t>
  </si>
  <si>
    <t>45.24.70</t>
  </si>
  <si>
    <t>Práce na hrubej stavbe úprav tokov, hrádzí, zavlažovacích kanálov a akvaduktov</t>
  </si>
  <si>
    <t>úprava potoka</t>
  </si>
  <si>
    <t>(0,30+0,20)/2*0,30*2*10,0 =</t>
  </si>
  <si>
    <t>11090201</t>
  </si>
  <si>
    <t>Schodiskové konštrukcie, stupne z betónu prostého</t>
  </si>
  <si>
    <t>1109020106</t>
  </si>
  <si>
    <t>Schodiskové konštrukcie, stupne z betónu prostého, tr. C 25/30 (B 30)</t>
  </si>
  <si>
    <t>obslužné schodisko pri opore</t>
  </si>
  <si>
    <t>1,92*0,60+2,26*0,10*2 =</t>
  </si>
  <si>
    <t>vystužené KARI sieťou = 16,96 kg</t>
  </si>
  <si>
    <t>11090211</t>
  </si>
  <si>
    <t>Schodiskové konštrukcie, stupne, debnenie tradičné</t>
  </si>
  <si>
    <t>1109021101</t>
  </si>
  <si>
    <t>Schodiskové konštrukcie, stupne, debnenie tradičné drevené</t>
  </si>
  <si>
    <t>2,26*2+(2,26-1,92)*2+0,60*0,18*14+(0,80+0,40+0,70+0,80) =</t>
  </si>
  <si>
    <t>11200101</t>
  </si>
  <si>
    <t>Podkladné konštrukcie, podkladné vrstvy, z betónu prostého</t>
  </si>
  <si>
    <t>1120010106</t>
  </si>
  <si>
    <t>Podkladné konštrukcie, podkladné vrstvy z betónu prostého, tr. C 25/30 (B 30)</t>
  </si>
  <si>
    <t>podklad pod dlažbu hr.100mm</t>
  </si>
  <si>
    <t>za krídlami opôr = (0,495*3+1,79)*0,10 =</t>
  </si>
  <si>
    <t>úprava potoka = (1,35*2*10,0)*0,10 =</t>
  </si>
  <si>
    <t>11200201</t>
  </si>
  <si>
    <t>Podkladné konštrukcie, tesniace vrstvy, prahy, z betónu prostého</t>
  </si>
  <si>
    <t>1120020107</t>
  </si>
  <si>
    <t>Podkladné konštrukcie, tesniace vrstvy, prahy z betónu prostého, tr. C 30/37 (B 35)</t>
  </si>
  <si>
    <t>stabilizačné prahy</t>
  </si>
  <si>
    <t>1,40*0,60*2 =</t>
  </si>
  <si>
    <t>11200211</t>
  </si>
  <si>
    <t>Podkladné konštrukcie, tesniace vrstvy, prahy, debnenie tradičné</t>
  </si>
  <si>
    <t>1120021101</t>
  </si>
  <si>
    <t>Podkladné konštrukcie, tesniace vrstvy, prahy, debnenie tradičné drevené</t>
  </si>
  <si>
    <t>1,40*2*2+5,30*0,60*2 =</t>
  </si>
  <si>
    <t>31210303</t>
  </si>
  <si>
    <t>Spevnené plochy, dlažby z  lomového  kameňa</t>
  </si>
  <si>
    <t>3121030302</t>
  </si>
  <si>
    <t>Spevnené plochy, dlažby z lomového kameňa na cementovú maltu</t>
  </si>
  <si>
    <t xml:space="preserve">dlažba hr.150mm </t>
  </si>
  <si>
    <t>za krídlami opôr = 0,495*3+1,79 =</t>
  </si>
  <si>
    <t>dlažba hr.200mm</t>
  </si>
  <si>
    <t>úprava potoka = 1,35*2*10,0 =</t>
  </si>
  <si>
    <t>45.26.14</t>
  </si>
  <si>
    <t>Izolačné práce proti vode</t>
  </si>
  <si>
    <t>61010101</t>
  </si>
  <si>
    <t>Izolácie proti vode a zemnej vlhkosti, bežných konštrukcií náterivami a tmelmi</t>
  </si>
  <si>
    <t>6101010101</t>
  </si>
  <si>
    <t>Izolácie proti vode a zemnej vlhkosti, bežných konštrukcií náterivami a tmelmi na ploche vodorovnej</t>
  </si>
  <si>
    <t>1x PN+2xAN</t>
  </si>
  <si>
    <t>krídla opory 1 = (2,67+2,34)*0,38+(2,86+2,14)*0,10 =</t>
  </si>
  <si>
    <t>krídla opory 2 = (2,64+2,26)*0,38+(2,44+2,46)*0,10 =</t>
  </si>
  <si>
    <t>prechodové dosky = 1,30*5,50*2 =</t>
  </si>
  <si>
    <t>6101010102</t>
  </si>
  <si>
    <t>Izolácie proti vode a zemnej vlhkosti, bežných konštrukcií náterivami a tmelmi na ploche zvislej</t>
  </si>
  <si>
    <t>opora 1 = (6,07+6,84)*0,70+1,50*2,14+1,65*1,86+2,10+2,32+0,87+1,01+0,11+0,15 =</t>
  </si>
  <si>
    <t>opora 2 = (6,84+6,49)*0,70+1,96*2,14+1,80*1,86+2,95+2,58+1,26+1,13+0,22+0,09 =</t>
  </si>
  <si>
    <t>prechodové dosky = (0,725*2+0,24*5,60)*2 =</t>
  </si>
  <si>
    <t>61010105</t>
  </si>
  <si>
    <t>Izolácie proti vode a zemnej vlhkosti, bežných konštrukcií ochrannými a podkladnými textíliami</t>
  </si>
  <si>
    <t>6101010502</t>
  </si>
  <si>
    <t>Izolácie proti vode a zemnej vlhkosti, bežných konštrukcií ochrannými a podkladnými textíliami na ploche zvislej</t>
  </si>
  <si>
    <t>plošná drenáž rubu mostných opôr</t>
  </si>
  <si>
    <t>opora 1 = 6,88*1,017 =</t>
  </si>
  <si>
    <t>opora 2 = 7,60*1,030 =</t>
  </si>
  <si>
    <t>61010502</t>
  </si>
  <si>
    <t>Izolácie proti vode a zemnej vlhkosti, mostoviek pásmi</t>
  </si>
  <si>
    <t>6101050201</t>
  </si>
  <si>
    <t>Izolácie proti vode a zemnej vlhkosti, mostoviek pásmi na ploche vodorovnej</t>
  </si>
  <si>
    <t>mostná izolácia</t>
  </si>
  <si>
    <t>na NK = 7,34*8,0 =</t>
  </si>
  <si>
    <t>na prechodových doskách = 5,50*2*1,0 =</t>
  </si>
  <si>
    <t xml:space="preserve">ochrana mostnej izolácie </t>
  </si>
  <si>
    <t>pod rímsami = 8,0*0,67*2 =</t>
  </si>
  <si>
    <t>02010203</t>
  </si>
  <si>
    <t>Zlepšovanie základovej pôdy, lôžko pre trativody a vankúše pod základy, z kameniva drveného</t>
  </si>
  <si>
    <t>0201020301</t>
  </si>
  <si>
    <t>Zlepšovanie základovej pôdy, lôžko pre trativody a vankúše pod základy, z kameniva drveného fr. 16-32 mm</t>
  </si>
  <si>
    <t>pod novobudovanými krídlami</t>
  </si>
  <si>
    <t>opora 1 = (8,0+13,20)/2*0,50+(8,60+14,75)/2*0,50 =</t>
  </si>
  <si>
    <t>opora 2 = (7,50+13,20)/2*0,50+(7,0+12,50)/2*0,50 =</t>
  </si>
  <si>
    <t>45.44.20</t>
  </si>
  <si>
    <t>Nanášanie ochranných vrstiev - maliarske a natieračské práce</t>
  </si>
  <si>
    <t>84010807</t>
  </si>
  <si>
    <t>Náter omietok a betónových povrchov, farba epoxidová</t>
  </si>
  <si>
    <t>8401080703</t>
  </si>
  <si>
    <t>Náter omietok a betónových povrchov, farba epoxidová, mostoviek</t>
  </si>
  <si>
    <t>zapečaťujúca vrstva mostovky</t>
  </si>
  <si>
    <t>7,34*8,0 =</t>
  </si>
  <si>
    <t>00000111</t>
  </si>
  <si>
    <t>J. CENA BEZ DPH</t>
  </si>
  <si>
    <t>CENA CELKOM BEZ DPH</t>
  </si>
  <si>
    <t>Celkom za 120-00 - Úprava cesty III/2561</t>
  </si>
  <si>
    <t>REKAPITULÁCIA</t>
  </si>
  <si>
    <t>Cena spolu bez DPH v €</t>
  </si>
  <si>
    <t>DPH 20%</t>
  </si>
  <si>
    <t>Cena s DPH v €</t>
  </si>
  <si>
    <t>Časti stavby</t>
  </si>
  <si>
    <t>Navrhovaná zmluvná cena (Akceptovaná zmluvná hodnota)</t>
  </si>
  <si>
    <t>Číslo časti stavby</t>
  </si>
  <si>
    <t>Klasifikácia stavieb</t>
  </si>
  <si>
    <t>Názov časti stavby</t>
  </si>
  <si>
    <t xml:space="preserve">120-00    </t>
  </si>
  <si>
    <t xml:space="preserve">    </t>
  </si>
  <si>
    <t xml:space="preserve">Úprava cesty III/2561    </t>
  </si>
  <si>
    <t>Celkový súčet bez DPH  v €</t>
  </si>
  <si>
    <t>001-00  Všeobecné položky</t>
  </si>
  <si>
    <t>00000102</t>
  </si>
  <si>
    <t>Zariadenie staveniska</t>
  </si>
  <si>
    <t>- zriadenie</t>
  </si>
  <si>
    <t>- prevádzka (3 mesiace)</t>
  </si>
  <si>
    <t>- odstránenie</t>
  </si>
  <si>
    <t>00000105</t>
  </si>
  <si>
    <t>Dokumentácia pre vykonanie prác</t>
  </si>
  <si>
    <t xml:space="preserve">120-00    Úprava cesty III/2561    </t>
  </si>
  <si>
    <t>00000106</t>
  </si>
  <si>
    <t>Dokumentácia skutočného vyhotovenia</t>
  </si>
  <si>
    <t>00000107</t>
  </si>
  <si>
    <t>Poistenie diela</t>
  </si>
  <si>
    <t xml:space="preserve"> - zabezpečiť v zmysle zmluvných podmienok</t>
  </si>
  <si>
    <t>00000108</t>
  </si>
  <si>
    <t>Fotodokumentácia, video</t>
  </si>
  <si>
    <t xml:space="preserve"> - náklady na fotodokumentáciu alebo na video postupu výstavby v zmysle zmluvy o dielo</t>
  </si>
  <si>
    <t>Celkom za 001-00 - Všeobecné položky</t>
  </si>
  <si>
    <t xml:space="preserve">202-00    </t>
  </si>
  <si>
    <t xml:space="preserve">Most ev. č. 2561-3, C III/2561 v km 6,450    </t>
  </si>
  <si>
    <t xml:space="preserve">202-00    Most ev. č. 2561-3, C III/2561 v km 6,450    </t>
  </si>
  <si>
    <t>Cena bez DPH v €</t>
  </si>
  <si>
    <t>REKAPITULÁCIA OBJEKTOV</t>
  </si>
  <si>
    <t>00000109</t>
  </si>
  <si>
    <t>Obnova komunikácií po výstavbe</t>
  </si>
  <si>
    <t>- frézovanie hr. 50 mm</t>
  </si>
  <si>
    <t>- odvoz fréz. materiálu správcovi komunikácie</t>
  </si>
  <si>
    <t>- spojovací postrek katiónaktívny emulzný 0,50 kg/m2, PS CB</t>
  </si>
  <si>
    <t>- asfaltový betón pre obrusnú vrstvu Aco 11-II hr. 50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</si>
</sst>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0000000"/>
    <numFmt numFmtId="165" formatCode="0000000000"/>
    <numFmt numFmtId="166" formatCode="#,##0.0"/>
    <numFmt numFmtId="167" formatCode="#"/>
    <numFmt numFmtId="168" formatCode="#,##0.000"/>
    <numFmt numFmtId="169" formatCode="###\ ###\ ###\ ##0.00"/>
  </numFmts>
  <fonts count="20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"/>
      <family val="2"/>
    </font>
    <font>
      <b/>
      <sz val="10"/>
      <name val="Arial"/>
      <family val="2"/>
      <charset val="238"/>
    </font>
    <font>
      <i/>
      <sz val="10"/>
      <name val="Arial CE"/>
      <family val="2"/>
      <charset val="238"/>
    </font>
    <font>
      <i/>
      <u/>
      <sz val="10"/>
      <name val="Arial CE"/>
      <family val="2"/>
      <charset val="238"/>
    </font>
    <font>
      <sz val="10"/>
      <name val="AT*Switzerland Narrow"/>
      <charset val="238"/>
    </font>
    <font>
      <i/>
      <u/>
      <vertAlign val="subscript"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1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9"/>
      <color rgb="FF000000"/>
      <name val="Ariel"/>
      <charset val="238"/>
    </font>
    <font>
      <sz val="9"/>
      <color rgb="FF000000"/>
      <name val="Ariel"/>
      <charset val="238"/>
    </font>
    <font>
      <b/>
      <sz val="11"/>
      <color theme="1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FFCC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9" fillId="0" borderId="0">
      <alignment horizontal="center" vertical="center" wrapText="1"/>
    </xf>
    <xf numFmtId="0" fontId="5" fillId="0" borderId="0"/>
    <xf numFmtId="0" fontId="9" fillId="0" borderId="0"/>
    <xf numFmtId="0" fontId="2" fillId="0" borderId="0"/>
    <xf numFmtId="0" fontId="2" fillId="0" borderId="0"/>
    <xf numFmtId="0" fontId="1" fillId="0" borderId="0"/>
    <xf numFmtId="0" fontId="17" fillId="3" borderId="0"/>
    <xf numFmtId="0" fontId="18" fillId="0" borderId="0"/>
    <xf numFmtId="0" fontId="17" fillId="0" borderId="0"/>
  </cellStyleXfs>
  <cellXfs count="309">
    <xf numFmtId="0" fontId="0" fillId="0" borderId="0" xfId="0"/>
    <xf numFmtId="0" fontId="2" fillId="0" borderId="0" xfId="0" applyFont="1" applyFill="1" applyBorder="1" applyAlignment="1" applyProtection="1">
      <alignment horizontal="left" vertical="top"/>
      <protection hidden="1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Protection="1">
      <protection hidden="1"/>
    </xf>
    <xf numFmtId="4" fontId="2" fillId="0" borderId="0" xfId="0" applyNumberFormat="1" applyFont="1" applyFill="1" applyBorder="1" applyAlignment="1" applyProtection="1">
      <protection hidden="1"/>
    </xf>
    <xf numFmtId="0" fontId="2" fillId="0" borderId="0" xfId="0" applyFont="1" applyFill="1" applyBorder="1" applyAlignment="1" applyProtection="1">
      <alignment horizontal="center"/>
      <protection hidden="1"/>
    </xf>
    <xf numFmtId="3" fontId="2" fillId="0" borderId="0" xfId="0" applyNumberFormat="1" applyFont="1" applyFill="1" applyBorder="1" applyAlignment="1" applyProtection="1">
      <alignment vertical="top"/>
      <protection hidden="1"/>
    </xf>
    <xf numFmtId="0" fontId="2" fillId="0" borderId="3" xfId="0" applyFont="1" applyFill="1" applyBorder="1" applyAlignment="1" applyProtection="1">
      <alignment horizontal="left"/>
      <protection hidden="1"/>
    </xf>
    <xf numFmtId="1" fontId="2" fillId="0" borderId="0" xfId="0" applyNumberFormat="1" applyFont="1" applyFill="1" applyBorder="1" applyAlignment="1" applyProtection="1">
      <alignment horizontal="left" vertical="top"/>
      <protection hidden="1"/>
    </xf>
    <xf numFmtId="0" fontId="2" fillId="0" borderId="3" xfId="0" applyFont="1" applyFill="1" applyBorder="1" applyAlignment="1" applyProtection="1">
      <alignment horizontal="center"/>
      <protection hidden="1"/>
    </xf>
    <xf numFmtId="3" fontId="2" fillId="0" borderId="0" xfId="0" applyNumberFormat="1" applyFont="1" applyFill="1" applyBorder="1" applyAlignment="1" applyProtection="1">
      <alignment horizontal="right" vertical="top"/>
      <protection hidden="1"/>
    </xf>
    <xf numFmtId="0" fontId="2" fillId="0" borderId="4" xfId="0" applyFont="1" applyFill="1" applyBorder="1" applyAlignment="1" applyProtection="1">
      <alignment horizontal="centerContinuous"/>
      <protection hidden="1"/>
    </xf>
    <xf numFmtId="0" fontId="2" fillId="0" borderId="5" xfId="0" applyFont="1" applyFill="1" applyBorder="1" applyAlignment="1" applyProtection="1">
      <alignment horizontal="center" vertical="top"/>
      <protection hidden="1"/>
    </xf>
    <xf numFmtId="0" fontId="2" fillId="0" borderId="6" xfId="0" applyFont="1" applyFill="1" applyBorder="1" applyAlignment="1" applyProtection="1">
      <alignment horizontal="center"/>
      <protection hidden="1"/>
    </xf>
    <xf numFmtId="0" fontId="3" fillId="0" borderId="7" xfId="0" applyFont="1" applyFill="1" applyBorder="1" applyAlignment="1" applyProtection="1">
      <alignment horizontal="center" vertical="top" wrapText="1"/>
      <protection hidden="1"/>
    </xf>
    <xf numFmtId="0" fontId="3" fillId="0" borderId="8" xfId="0" applyFont="1" applyFill="1" applyBorder="1" applyAlignment="1" applyProtection="1">
      <alignment horizontal="center" vertical="top" wrapText="1"/>
      <protection hidden="1"/>
    </xf>
    <xf numFmtId="0" fontId="2" fillId="0" borderId="8" xfId="0" applyFont="1" applyFill="1" applyBorder="1" applyAlignment="1" applyProtection="1">
      <alignment horizontal="center" vertical="top" wrapText="1"/>
      <protection hidden="1"/>
    </xf>
    <xf numFmtId="0" fontId="2" fillId="0" borderId="9" xfId="0" applyFont="1" applyFill="1" applyBorder="1" applyAlignment="1" applyProtection="1">
      <alignment horizontal="center" vertical="top" wrapText="1"/>
      <protection hidden="1"/>
    </xf>
    <xf numFmtId="4" fontId="2" fillId="0" borderId="10" xfId="0" applyNumberFormat="1" applyFont="1" applyFill="1" applyBorder="1" applyAlignment="1" applyProtection="1">
      <alignment vertical="top" wrapText="1"/>
      <protection hidden="1"/>
    </xf>
    <xf numFmtId="0" fontId="2" fillId="0" borderId="8" xfId="0" quotePrefix="1" applyFont="1" applyFill="1" applyBorder="1" applyAlignment="1" applyProtection="1">
      <alignment horizontal="center" vertical="top" wrapText="1"/>
      <protection hidden="1"/>
    </xf>
    <xf numFmtId="3" fontId="2" fillId="0" borderId="11" xfId="0" applyNumberFormat="1" applyFont="1" applyFill="1" applyBorder="1" applyAlignment="1" applyProtection="1">
      <alignment horizontal="center" vertical="top" wrapText="1"/>
      <protection hidden="1"/>
    </xf>
    <xf numFmtId="4" fontId="3" fillId="0" borderId="12" xfId="0" applyNumberFormat="1" applyFont="1" applyFill="1" applyBorder="1" applyAlignment="1" applyProtection="1">
      <alignment vertical="top" wrapText="1"/>
      <protection hidden="1"/>
    </xf>
    <xf numFmtId="49" fontId="7" fillId="0" borderId="0" xfId="0" applyNumberFormat="1" applyFont="1" applyFill="1" applyBorder="1" applyAlignment="1" applyProtection="1">
      <alignment horizontal="left" vertical="top" wrapText="1" indent="1"/>
      <protection hidden="1"/>
    </xf>
    <xf numFmtId="4" fontId="7" fillId="0" borderId="13" xfId="0" applyNumberFormat="1" applyFont="1" applyFill="1" applyBorder="1" applyAlignment="1" applyProtection="1">
      <alignment horizontal="right" wrapText="1"/>
      <protection hidden="1"/>
    </xf>
    <xf numFmtId="4" fontId="8" fillId="0" borderId="13" xfId="0" applyNumberFormat="1" applyFont="1" applyFill="1" applyBorder="1" applyAlignment="1" applyProtection="1">
      <alignment horizontal="right" wrapText="1"/>
      <protection hidden="1"/>
    </xf>
    <xf numFmtId="0" fontId="3" fillId="0" borderId="0" xfId="0" applyFont="1" applyFill="1" applyBorder="1" applyAlignment="1" applyProtection="1">
      <alignment horizontal="left" vertical="top" wrapText="1"/>
      <protection hidden="1"/>
    </xf>
    <xf numFmtId="4" fontId="7" fillId="0" borderId="0" xfId="0" applyNumberFormat="1" applyFont="1" applyFill="1" applyBorder="1" applyAlignment="1" applyProtection="1">
      <alignment vertical="top" wrapText="1"/>
      <protection hidden="1"/>
    </xf>
    <xf numFmtId="0" fontId="3" fillId="0" borderId="2" xfId="0" applyFont="1" applyFill="1" applyBorder="1" applyAlignment="1" applyProtection="1">
      <alignment horizontal="center" vertical="top" wrapText="1"/>
      <protection hidden="1"/>
    </xf>
    <xf numFmtId="0" fontId="3" fillId="0" borderId="1" xfId="0" applyFont="1" applyFill="1" applyBorder="1" applyAlignment="1" applyProtection="1">
      <alignment horizontal="center" vertical="top" wrapText="1"/>
      <protection hidden="1"/>
    </xf>
    <xf numFmtId="0" fontId="2" fillId="0" borderId="1" xfId="0" applyFont="1" applyFill="1" applyBorder="1" applyAlignment="1" applyProtection="1">
      <alignment horizontal="center" vertical="top" wrapText="1"/>
      <protection hidden="1"/>
    </xf>
    <xf numFmtId="4" fontId="2" fillId="0" borderId="0" xfId="0" applyNumberFormat="1" applyFont="1" applyFill="1" applyBorder="1" applyAlignment="1" applyProtection="1">
      <alignment vertical="top" wrapText="1"/>
      <protection hidden="1"/>
    </xf>
    <xf numFmtId="0" fontId="2" fillId="0" borderId="1" xfId="0" quotePrefix="1" applyFont="1" applyFill="1" applyBorder="1" applyAlignment="1" applyProtection="1">
      <alignment horizontal="center" vertical="top" wrapText="1"/>
      <protection hidden="1"/>
    </xf>
    <xf numFmtId="3" fontId="2" fillId="0" borderId="12" xfId="0" applyNumberFormat="1" applyFont="1" applyFill="1" applyBorder="1" applyAlignment="1" applyProtection="1">
      <alignment horizontal="center" vertical="top" wrapText="1"/>
      <protection hidden="1"/>
    </xf>
    <xf numFmtId="4" fontId="7" fillId="0" borderId="13" xfId="0" applyNumberFormat="1" applyFont="1" applyFill="1" applyBorder="1" applyAlignment="1" applyProtection="1">
      <alignment horizontal="right" vertical="top" wrapText="1"/>
      <protection hidden="1"/>
    </xf>
    <xf numFmtId="4" fontId="8" fillId="0" borderId="13" xfId="0" applyNumberFormat="1" applyFont="1" applyFill="1" applyBorder="1" applyAlignment="1" applyProtection="1">
      <alignment horizontal="right" vertical="top" wrapText="1"/>
      <protection hidden="1"/>
    </xf>
    <xf numFmtId="4" fontId="7" fillId="0" borderId="0" xfId="0" applyNumberFormat="1" applyFont="1" applyFill="1" applyBorder="1" applyAlignment="1" applyProtection="1">
      <alignment horizontal="right" vertical="top" wrapText="1"/>
      <protection hidden="1"/>
    </xf>
    <xf numFmtId="0" fontId="2" fillId="0" borderId="0" xfId="0" applyFont="1" applyFill="1" applyBorder="1" applyAlignment="1" applyProtection="1">
      <alignment horizontal="center" vertical="top" wrapText="1"/>
      <protection hidden="1"/>
    </xf>
    <xf numFmtId="49" fontId="8" fillId="0" borderId="0" xfId="0" applyNumberFormat="1" applyFont="1" applyFill="1" applyBorder="1" applyAlignment="1" applyProtection="1">
      <alignment horizontal="left" vertical="top" wrapText="1" indent="1"/>
      <protection hidden="1"/>
    </xf>
    <xf numFmtId="4" fontId="3" fillId="0" borderId="0" xfId="0" applyNumberFormat="1" applyFont="1" applyFill="1" applyBorder="1" applyAlignment="1" applyProtection="1">
      <alignment vertical="top" wrapText="1"/>
      <protection hidden="1"/>
    </xf>
    <xf numFmtId="3" fontId="3" fillId="0" borderId="12" xfId="0" applyNumberFormat="1" applyFont="1" applyFill="1" applyBorder="1" applyAlignment="1" applyProtection="1">
      <alignment vertical="top" wrapText="1"/>
      <protection hidden="1"/>
    </xf>
    <xf numFmtId="4" fontId="2" fillId="0" borderId="12" xfId="0" applyNumberFormat="1" applyFont="1" applyFill="1" applyBorder="1" applyAlignment="1" applyProtection="1">
      <alignment vertical="top" wrapText="1"/>
      <protection hidden="1"/>
    </xf>
    <xf numFmtId="0" fontId="3" fillId="0" borderId="1" xfId="0" applyNumberFormat="1" applyFont="1" applyFill="1" applyBorder="1" applyAlignment="1" applyProtection="1">
      <alignment horizontal="left" vertical="top" wrapText="1"/>
      <protection hidden="1"/>
    </xf>
    <xf numFmtId="0" fontId="2" fillId="0" borderId="1" xfId="0" applyNumberFormat="1" applyFont="1" applyFill="1" applyBorder="1" applyAlignment="1" applyProtection="1">
      <alignment horizontal="left" vertical="top" wrapText="1"/>
      <protection hidden="1"/>
    </xf>
    <xf numFmtId="0" fontId="2" fillId="0" borderId="2" xfId="0" applyFont="1" applyFill="1" applyBorder="1" applyProtection="1">
      <protection hidden="1"/>
    </xf>
    <xf numFmtId="0" fontId="7" fillId="0" borderId="0" xfId="0" applyNumberFormat="1" applyFont="1" applyFill="1" applyBorder="1" applyAlignment="1" applyProtection="1">
      <alignment horizontal="left" vertical="top" wrapText="1"/>
      <protection hidden="1"/>
    </xf>
    <xf numFmtId="166" fontId="7" fillId="0" borderId="13" xfId="0" applyNumberFormat="1" applyFont="1" applyFill="1" applyBorder="1" applyAlignment="1" applyProtection="1">
      <alignment horizontal="right" vertical="top" wrapText="1"/>
      <protection hidden="1"/>
    </xf>
    <xf numFmtId="166" fontId="7" fillId="0" borderId="0" xfId="0" applyNumberFormat="1" applyFont="1" applyFill="1" applyBorder="1" applyAlignment="1" applyProtection="1">
      <alignment horizontal="right" vertical="top" wrapText="1"/>
      <protection hidden="1"/>
    </xf>
    <xf numFmtId="0" fontId="3" fillId="0" borderId="14" xfId="0" applyFont="1" applyFill="1" applyBorder="1" applyAlignment="1" applyProtection="1">
      <alignment horizontal="center" vertical="top" wrapText="1"/>
      <protection hidden="1"/>
    </xf>
    <xf numFmtId="0" fontId="3" fillId="0" borderId="15" xfId="0" applyFont="1" applyFill="1" applyBorder="1" applyAlignment="1" applyProtection="1">
      <alignment horizontal="center" vertical="top" wrapText="1"/>
      <protection hidden="1"/>
    </xf>
    <xf numFmtId="0" fontId="2" fillId="0" borderId="15" xfId="0" applyFont="1" applyFill="1" applyBorder="1" applyAlignment="1" applyProtection="1">
      <alignment horizontal="left" vertical="top" wrapText="1"/>
      <protection hidden="1"/>
    </xf>
    <xf numFmtId="0" fontId="2" fillId="0" borderId="3" xfId="0" applyFont="1" applyFill="1" applyBorder="1" applyAlignment="1" applyProtection="1">
      <alignment horizontal="left" vertical="top" wrapText="1"/>
      <protection hidden="1"/>
    </xf>
    <xf numFmtId="4" fontId="2" fillId="0" borderId="3" xfId="0" applyNumberFormat="1" applyFont="1" applyFill="1" applyBorder="1" applyAlignment="1" applyProtection="1">
      <alignment vertical="top" wrapText="1"/>
      <protection hidden="1"/>
    </xf>
    <xf numFmtId="0" fontId="2" fillId="0" borderId="6" xfId="0" applyFont="1" applyFill="1" applyBorder="1" applyAlignment="1" applyProtection="1">
      <alignment horizontal="center" vertical="top" wrapText="1"/>
      <protection hidden="1"/>
    </xf>
    <xf numFmtId="3" fontId="2" fillId="0" borderId="16" xfId="0" applyNumberFormat="1" applyFont="1" applyFill="1" applyBorder="1" applyAlignment="1" applyProtection="1">
      <alignment vertical="top" wrapText="1"/>
      <protection hidden="1"/>
    </xf>
    <xf numFmtId="49" fontId="3" fillId="0" borderId="1" xfId="0" applyNumberFormat="1" applyFont="1" applyFill="1" applyBorder="1" applyAlignment="1" applyProtection="1">
      <alignment vertical="top"/>
      <protection hidden="1"/>
    </xf>
    <xf numFmtId="49" fontId="6" fillId="0" borderId="0" xfId="0" applyNumberFormat="1" applyFont="1" applyFill="1" applyAlignment="1" applyProtection="1">
      <alignment wrapText="1"/>
      <protection hidden="1"/>
    </xf>
    <xf numFmtId="0" fontId="2" fillId="0" borderId="0" xfId="0" applyFont="1" applyFill="1" applyProtection="1">
      <protection hidden="1"/>
    </xf>
    <xf numFmtId="0" fontId="3" fillId="0" borderId="1" xfId="0" applyFont="1" applyFill="1" applyBorder="1" applyAlignment="1" applyProtection="1">
      <alignment vertical="top" wrapText="1"/>
      <protection hidden="1"/>
    </xf>
    <xf numFmtId="164" fontId="3" fillId="0" borderId="1" xfId="0" applyNumberFormat="1" applyFont="1" applyFill="1" applyBorder="1" applyAlignment="1" applyProtection="1">
      <alignment horizontal="left" vertical="top" wrapText="1"/>
      <protection hidden="1"/>
    </xf>
    <xf numFmtId="165" fontId="3" fillId="0" borderId="1" xfId="0" applyNumberFormat="1" applyFont="1" applyFill="1" applyBorder="1" applyAlignment="1" applyProtection="1">
      <alignment horizontal="left" vertical="top" wrapText="1"/>
      <protection hidden="1"/>
    </xf>
    <xf numFmtId="0" fontId="3" fillId="0" borderId="0" xfId="0" applyFont="1" applyFill="1" applyAlignment="1" applyProtection="1">
      <alignment horizontal="left" vertical="top" wrapText="1"/>
      <protection hidden="1"/>
    </xf>
    <xf numFmtId="0" fontId="2" fillId="0" borderId="0" xfId="0" applyFont="1" applyFill="1" applyAlignment="1" applyProtection="1">
      <alignment horizontal="center" vertical="top" wrapText="1"/>
      <protection hidden="1"/>
    </xf>
    <xf numFmtId="4" fontId="2" fillId="0" borderId="0" xfId="0" applyNumberFormat="1" applyFont="1" applyFill="1" applyAlignment="1" applyProtection="1">
      <alignment vertical="top" wrapText="1"/>
      <protection hidden="1"/>
    </xf>
    <xf numFmtId="0" fontId="6" fillId="0" borderId="2" xfId="0" applyFont="1" applyFill="1" applyBorder="1" applyAlignment="1" applyProtection="1">
      <alignment horizontal="center" vertical="top"/>
      <protection hidden="1"/>
    </xf>
    <xf numFmtId="49" fontId="3" fillId="0" borderId="1" xfId="0" quotePrefix="1" applyNumberFormat="1" applyFont="1" applyFill="1" applyBorder="1" applyAlignment="1" applyProtection="1">
      <alignment horizontal="left" vertical="top"/>
      <protection hidden="1"/>
    </xf>
    <xf numFmtId="49" fontId="3" fillId="0" borderId="1" xfId="0" applyNumberFormat="1" applyFont="1" applyFill="1" applyBorder="1" applyAlignment="1" applyProtection="1">
      <alignment horizontal="left" vertical="top"/>
      <protection hidden="1"/>
    </xf>
    <xf numFmtId="0" fontId="3" fillId="0" borderId="0" xfId="0" applyFont="1" applyFill="1" applyAlignment="1" applyProtection="1">
      <alignment vertical="top" wrapText="1"/>
      <protection hidden="1"/>
    </xf>
    <xf numFmtId="0" fontId="3" fillId="0" borderId="0" xfId="0" applyFont="1" applyFill="1" applyAlignment="1" applyProtection="1">
      <alignment wrapText="1"/>
      <protection hidden="1"/>
    </xf>
    <xf numFmtId="0" fontId="3" fillId="0" borderId="1" xfId="0" applyFont="1" applyFill="1" applyBorder="1" applyAlignment="1" applyProtection="1">
      <alignment horizontal="center" vertical="top"/>
      <protection hidden="1"/>
    </xf>
    <xf numFmtId="49" fontId="8" fillId="0" borderId="0" xfId="0" applyNumberFormat="1" applyFont="1" applyFill="1" applyAlignment="1" applyProtection="1">
      <alignment horizontal="left" vertical="top" wrapText="1" indent="1"/>
      <protection hidden="1"/>
    </xf>
    <xf numFmtId="166" fontId="7" fillId="0" borderId="0" xfId="0" applyNumberFormat="1" applyFont="1" applyFill="1" applyAlignment="1" applyProtection="1">
      <alignment horizontal="right" vertical="top" wrapText="1"/>
      <protection hidden="1"/>
    </xf>
    <xf numFmtId="49" fontId="7" fillId="0" borderId="0" xfId="0" applyNumberFormat="1" applyFont="1" applyFill="1" applyAlignment="1" applyProtection="1">
      <alignment horizontal="left" vertical="top" wrapText="1" indent="1"/>
      <protection hidden="1"/>
    </xf>
    <xf numFmtId="0" fontId="7" fillId="0" borderId="0" xfId="0" applyFont="1" applyFill="1" applyAlignment="1" applyProtection="1">
      <alignment horizontal="left" vertical="top" wrapText="1"/>
      <protection hidden="1"/>
    </xf>
    <xf numFmtId="4" fontId="7" fillId="0" borderId="0" xfId="0" applyNumberFormat="1" applyFont="1" applyFill="1" applyAlignment="1" applyProtection="1">
      <alignment horizontal="right" vertical="top" wrapText="1"/>
      <protection hidden="1"/>
    </xf>
    <xf numFmtId="166" fontId="8" fillId="0" borderId="0" xfId="0" applyNumberFormat="1" applyFont="1" applyFill="1" applyBorder="1" applyAlignment="1" applyProtection="1">
      <alignment horizontal="right" vertical="top" wrapText="1"/>
      <protection hidden="1"/>
    </xf>
    <xf numFmtId="164" fontId="4" fillId="0" borderId="1" xfId="0" applyNumberFormat="1" applyFont="1" applyFill="1" applyBorder="1" applyAlignment="1" applyProtection="1">
      <alignment horizontal="left" vertical="top" wrapText="1"/>
      <protection hidden="1"/>
    </xf>
    <xf numFmtId="165" fontId="4" fillId="0" borderId="1" xfId="0" applyNumberFormat="1" applyFont="1" applyFill="1" applyBorder="1" applyAlignment="1" applyProtection="1">
      <alignment horizontal="left" vertical="top" wrapText="1"/>
      <protection hidden="1"/>
    </xf>
    <xf numFmtId="0" fontId="4" fillId="0" borderId="0" xfId="0" applyFont="1" applyFill="1" applyAlignment="1" applyProtection="1">
      <alignment horizontal="left" vertical="top" wrapText="1"/>
      <protection hidden="1"/>
    </xf>
    <xf numFmtId="0" fontId="4" fillId="0" borderId="1" xfId="0" applyFont="1" applyFill="1" applyBorder="1" applyAlignment="1" applyProtection="1">
      <alignment horizontal="center" vertical="top" wrapText="1"/>
      <protection hidden="1"/>
    </xf>
    <xf numFmtId="3" fontId="2" fillId="0" borderId="12" xfId="0" applyNumberFormat="1" applyFont="1" applyFill="1" applyBorder="1" applyProtection="1">
      <protection hidden="1"/>
    </xf>
    <xf numFmtId="49" fontId="2" fillId="0" borderId="1" xfId="0" quotePrefix="1" applyNumberFormat="1" applyFont="1" applyFill="1" applyBorder="1" applyAlignment="1" applyProtection="1">
      <alignment horizontal="left" vertical="top"/>
      <protection hidden="1"/>
    </xf>
    <xf numFmtId="0" fontId="2" fillId="0" borderId="0" xfId="0" applyFont="1" applyFill="1" applyAlignment="1" applyProtection="1">
      <alignment vertical="top" wrapText="1"/>
      <protection hidden="1"/>
    </xf>
    <xf numFmtId="0" fontId="2" fillId="0" borderId="0" xfId="0" applyFont="1" applyFill="1" applyAlignment="1" applyProtection="1">
      <alignment wrapText="1"/>
      <protection hidden="1"/>
    </xf>
    <xf numFmtId="0" fontId="2" fillId="0" borderId="1" xfId="0" applyFont="1" applyFill="1" applyBorder="1" applyAlignment="1" applyProtection="1">
      <alignment horizontal="center" vertical="top"/>
      <protection hidden="1"/>
    </xf>
    <xf numFmtId="0" fontId="2" fillId="0" borderId="1" xfId="0" applyFont="1" applyFill="1" applyBorder="1" applyAlignment="1" applyProtection="1">
      <alignment vertical="top"/>
      <protection hidden="1"/>
    </xf>
    <xf numFmtId="4" fontId="3" fillId="0" borderId="12" xfId="0" applyNumberFormat="1" applyFont="1" applyFill="1" applyBorder="1" applyAlignment="1" applyProtection="1">
      <alignment vertical="top"/>
      <protection hidden="1"/>
    </xf>
    <xf numFmtId="4" fontId="2" fillId="0" borderId="12" xfId="0" applyNumberFormat="1" applyFont="1" applyFill="1" applyBorder="1" applyAlignment="1" applyProtection="1">
      <alignment vertical="top"/>
      <protection hidden="1"/>
    </xf>
    <xf numFmtId="0" fontId="3" fillId="0" borderId="1" xfId="0" applyFont="1" applyFill="1" applyBorder="1" applyAlignment="1" applyProtection="1">
      <alignment wrapText="1"/>
      <protection hidden="1"/>
    </xf>
    <xf numFmtId="0" fontId="2" fillId="0" borderId="2" xfId="0" applyFont="1" applyFill="1" applyBorder="1" applyAlignment="1" applyProtection="1">
      <alignment wrapText="1"/>
      <protection hidden="1"/>
    </xf>
    <xf numFmtId="49" fontId="3" fillId="0" borderId="1" xfId="0" applyNumberFormat="1" applyFont="1" applyFill="1" applyBorder="1" applyAlignment="1" applyProtection="1">
      <alignment wrapText="1"/>
      <protection hidden="1"/>
    </xf>
    <xf numFmtId="49" fontId="2" fillId="0" borderId="1" xfId="0" applyNumberFormat="1" applyFont="1" applyFill="1" applyBorder="1" applyAlignment="1" applyProtection="1">
      <alignment wrapText="1"/>
      <protection hidden="1"/>
    </xf>
    <xf numFmtId="4" fontId="7" fillId="0" borderId="13" xfId="0" applyNumberFormat="1" applyFont="1" applyFill="1" applyBorder="1" applyAlignment="1" applyProtection="1">
      <alignment vertical="top" wrapText="1"/>
      <protection hidden="1"/>
    </xf>
    <xf numFmtId="3" fontId="2" fillId="0" borderId="12" xfId="0" applyNumberFormat="1" applyFont="1" applyFill="1" applyBorder="1" applyAlignment="1" applyProtection="1">
      <alignment horizontal="right" vertical="top" wrapText="1"/>
      <protection hidden="1"/>
    </xf>
    <xf numFmtId="49" fontId="6" fillId="0" borderId="1" xfId="0" applyNumberFormat="1" applyFont="1" applyFill="1" applyBorder="1" applyAlignment="1" applyProtection="1">
      <alignment vertical="top"/>
      <protection hidden="1"/>
    </xf>
    <xf numFmtId="3" fontId="3" fillId="0" borderId="12" xfId="0" applyNumberFormat="1" applyFont="1" applyFill="1" applyBorder="1" applyAlignment="1" applyProtection="1">
      <alignment horizontal="right" vertical="top" wrapText="1"/>
      <protection hidden="1"/>
    </xf>
    <xf numFmtId="49" fontId="4" fillId="0" borderId="1" xfId="0" applyNumberFormat="1" applyFont="1" applyFill="1" applyBorder="1" applyAlignment="1" applyProtection="1">
      <alignment horizontal="left" vertical="top"/>
      <protection hidden="1"/>
    </xf>
    <xf numFmtId="0" fontId="4" fillId="0" borderId="1" xfId="0" applyFont="1" applyFill="1" applyBorder="1" applyAlignment="1" applyProtection="1">
      <alignment horizontal="center" vertical="top"/>
      <protection hidden="1"/>
    </xf>
    <xf numFmtId="0" fontId="2" fillId="0" borderId="12" xfId="0" applyFont="1" applyFill="1" applyBorder="1" applyProtection="1">
      <protection hidden="1"/>
    </xf>
    <xf numFmtId="0" fontId="3" fillId="0" borderId="1" xfId="0" applyFont="1" applyFill="1" applyBorder="1" applyAlignment="1" applyProtection="1">
      <alignment horizontal="left" vertical="top" wrapText="1"/>
      <protection hidden="1"/>
    </xf>
    <xf numFmtId="0" fontId="4" fillId="0" borderId="0" xfId="0" applyFont="1" applyFill="1" applyAlignment="1" applyProtection="1">
      <alignment wrapText="1"/>
      <protection hidden="1"/>
    </xf>
    <xf numFmtId="0" fontId="3" fillId="0" borderId="1" xfId="0" applyFont="1" applyFill="1" applyBorder="1" applyAlignment="1" applyProtection="1">
      <alignment horizontal="left" wrapText="1"/>
      <protection hidden="1"/>
    </xf>
    <xf numFmtId="0" fontId="2" fillId="0" borderId="1" xfId="0" applyFont="1" applyFill="1" applyBorder="1" applyAlignment="1" applyProtection="1">
      <alignment horizontal="left" wrapText="1"/>
      <protection hidden="1"/>
    </xf>
    <xf numFmtId="49" fontId="2" fillId="0" borderId="1" xfId="0" applyNumberFormat="1" applyFont="1" applyFill="1" applyBorder="1" applyAlignment="1" applyProtection="1">
      <alignment horizontal="left" vertical="top"/>
      <protection hidden="1"/>
    </xf>
    <xf numFmtId="0" fontId="2" fillId="0" borderId="2" xfId="0" applyFont="1" applyFill="1" applyBorder="1" applyAlignment="1" applyProtection="1">
      <alignment vertical="top" wrapText="1"/>
      <protection hidden="1"/>
    </xf>
    <xf numFmtId="0" fontId="2" fillId="0" borderId="1" xfId="0" applyFont="1" applyFill="1" applyBorder="1" applyAlignment="1" applyProtection="1">
      <alignment vertical="top" wrapText="1"/>
      <protection hidden="1"/>
    </xf>
    <xf numFmtId="49" fontId="3" fillId="0" borderId="1" xfId="0" applyNumberFormat="1" applyFont="1" applyFill="1" applyBorder="1" applyAlignment="1" applyProtection="1">
      <alignment horizontal="left" vertical="top" wrapText="1"/>
      <protection hidden="1"/>
    </xf>
    <xf numFmtId="49" fontId="2" fillId="0" borderId="1" xfId="0" applyNumberFormat="1" applyFont="1" applyFill="1" applyBorder="1" applyAlignment="1" applyProtection="1">
      <alignment horizontal="left" vertical="top" wrapText="1"/>
      <protection hidden="1"/>
    </xf>
    <xf numFmtId="0" fontId="3" fillId="0" borderId="1" xfId="0" applyFont="1" applyFill="1" applyBorder="1" applyAlignment="1" applyProtection="1">
      <alignment vertical="top"/>
      <protection hidden="1"/>
    </xf>
    <xf numFmtId="0" fontId="6" fillId="0" borderId="0" xfId="0" applyFont="1" applyFill="1" applyAlignment="1" applyProtection="1">
      <alignment vertical="top" wrapText="1"/>
      <protection hidden="1"/>
    </xf>
    <xf numFmtId="0" fontId="6" fillId="0" borderId="0" xfId="0" applyFont="1" applyFill="1" applyAlignment="1" applyProtection="1">
      <alignment vertical="center" wrapText="1"/>
      <protection hidden="1"/>
    </xf>
    <xf numFmtId="0" fontId="3" fillId="0" borderId="0" xfId="0" applyFont="1" applyFill="1" applyAlignment="1" applyProtection="1">
      <alignment vertical="center" wrapText="1"/>
      <protection hidden="1"/>
    </xf>
    <xf numFmtId="0" fontId="2" fillId="0" borderId="0" xfId="0" applyFont="1" applyFill="1" applyAlignment="1" applyProtection="1">
      <alignment horizontal="left" vertical="top" wrapText="1"/>
      <protection hidden="1"/>
    </xf>
    <xf numFmtId="49" fontId="11" fillId="0" borderId="0" xfId="0" applyNumberFormat="1" applyFont="1" applyFill="1" applyAlignment="1" applyProtection="1">
      <alignment horizontal="right" vertical="top" wrapText="1" indent="1"/>
      <protection hidden="1"/>
    </xf>
    <xf numFmtId="0" fontId="3" fillId="0" borderId="6" xfId="0" applyFont="1" applyFill="1" applyBorder="1" applyAlignment="1" applyProtection="1">
      <alignment vertical="top" wrapText="1"/>
      <protection hidden="1"/>
    </xf>
    <xf numFmtId="4" fontId="2" fillId="0" borderId="0" xfId="0" applyNumberFormat="1" applyFont="1" applyFill="1" applyProtection="1">
      <protection hidden="1"/>
    </xf>
    <xf numFmtId="3" fontId="2" fillId="0" borderId="0" xfId="0" applyNumberFormat="1" applyFont="1" applyFill="1" applyProtection="1">
      <protection hidden="1"/>
    </xf>
    <xf numFmtId="0" fontId="2" fillId="0" borderId="0" xfId="0" applyFont="1" applyFill="1" applyAlignment="1" applyProtection="1">
      <alignment horizontal="left" vertical="top"/>
      <protection hidden="1"/>
    </xf>
    <xf numFmtId="0" fontId="3" fillId="0" borderId="0" xfId="0" applyFont="1" applyFill="1" applyAlignment="1" applyProtection="1">
      <alignment horizontal="center"/>
      <protection hidden="1"/>
    </xf>
    <xf numFmtId="0" fontId="3" fillId="0" borderId="0" xfId="0" applyFont="1" applyFill="1" applyProtection="1">
      <protection hidden="1"/>
    </xf>
    <xf numFmtId="0" fontId="6" fillId="0" borderId="0" xfId="0" applyFont="1" applyFill="1" applyProtection="1">
      <protection hidden="1"/>
    </xf>
    <xf numFmtId="0" fontId="2" fillId="0" borderId="0" xfId="0" applyFont="1" applyFill="1" applyAlignment="1" applyProtection="1">
      <alignment horizontal="center"/>
      <protection hidden="1"/>
    </xf>
    <xf numFmtId="4" fontId="2" fillId="0" borderId="0" xfId="0" applyNumberFormat="1" applyFont="1" applyFill="1" applyAlignment="1" applyProtection="1">
      <alignment vertical="top"/>
      <protection hidden="1"/>
    </xf>
    <xf numFmtId="1" fontId="2" fillId="0" borderId="0" xfId="0" applyNumberFormat="1" applyFont="1" applyFill="1" applyAlignment="1" applyProtection="1">
      <alignment horizontal="left" vertical="top"/>
      <protection hidden="1"/>
    </xf>
    <xf numFmtId="4" fontId="2" fillId="0" borderId="0" xfId="0" applyNumberFormat="1" applyFont="1" applyFill="1" applyAlignment="1" applyProtection="1">
      <alignment horizontal="right" vertical="top"/>
      <protection hidden="1"/>
    </xf>
    <xf numFmtId="4" fontId="2" fillId="0" borderId="11" xfId="0" applyNumberFormat="1" applyFont="1" applyFill="1" applyBorder="1" applyAlignment="1" applyProtection="1">
      <alignment horizontal="center" vertical="top" wrapText="1"/>
      <protection hidden="1"/>
    </xf>
    <xf numFmtId="0" fontId="2" fillId="0" borderId="0" xfId="0" applyFont="1" applyFill="1" applyAlignment="1" applyProtection="1">
      <alignment horizontal="center" vertical="center" wrapText="1"/>
      <protection hidden="1"/>
    </xf>
    <xf numFmtId="0" fontId="2" fillId="0" borderId="1" xfId="0" quotePrefix="1" applyFont="1" applyFill="1" applyBorder="1" applyAlignment="1" applyProtection="1">
      <alignment horizontal="center" vertical="center"/>
      <protection hidden="1"/>
    </xf>
    <xf numFmtId="4" fontId="2" fillId="0" borderId="12" xfId="0" applyNumberFormat="1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Alignment="1" applyProtection="1">
      <alignment vertical="top" wrapText="1"/>
      <protection hidden="1"/>
    </xf>
    <xf numFmtId="0" fontId="8" fillId="0" borderId="0" xfId="0" applyFont="1" applyFill="1" applyAlignment="1" applyProtection="1">
      <alignment horizontal="left" vertical="top" wrapText="1" indent="1"/>
      <protection hidden="1"/>
    </xf>
    <xf numFmtId="4" fontId="2" fillId="0" borderId="12" xfId="0" applyNumberFormat="1" applyFont="1" applyFill="1" applyBorder="1" applyAlignment="1" applyProtection="1">
      <alignment horizontal="right" vertical="top" wrapText="1"/>
      <protection hidden="1"/>
    </xf>
    <xf numFmtId="4" fontId="3" fillId="0" borderId="12" xfId="0" applyNumberFormat="1" applyFont="1" applyFill="1" applyBorder="1" applyAlignment="1" applyProtection="1">
      <alignment horizontal="right" vertical="top" wrapText="1"/>
      <protection hidden="1"/>
    </xf>
    <xf numFmtId="0" fontId="7" fillId="0" borderId="0" xfId="0" applyFont="1" applyFill="1" applyAlignment="1" applyProtection="1">
      <alignment horizontal="left" vertical="top" wrapText="1" indent="1"/>
      <protection hidden="1"/>
    </xf>
    <xf numFmtId="4" fontId="8" fillId="0" borderId="0" xfId="0" applyNumberFormat="1" applyFont="1" applyFill="1" applyAlignment="1" applyProtection="1">
      <alignment horizontal="right" vertical="top" wrapText="1"/>
      <protection hidden="1"/>
    </xf>
    <xf numFmtId="0" fontId="7" fillId="0" borderId="0" xfId="0" applyFont="1" applyFill="1" applyAlignment="1" applyProtection="1">
      <alignment horizontal="right" vertical="top" wrapText="1" indent="1"/>
      <protection hidden="1"/>
    </xf>
    <xf numFmtId="0" fontId="6" fillId="0" borderId="23" xfId="0" applyFont="1" applyFill="1" applyBorder="1" applyAlignment="1" applyProtection="1">
      <alignment vertical="top" wrapText="1"/>
      <protection hidden="1"/>
    </xf>
    <xf numFmtId="4" fontId="13" fillId="0" borderId="0" xfId="0" applyNumberFormat="1" applyFont="1" applyFill="1" applyAlignment="1" applyProtection="1">
      <alignment wrapText="1"/>
      <protection hidden="1"/>
    </xf>
    <xf numFmtId="4" fontId="3" fillId="0" borderId="0" xfId="0" applyNumberFormat="1" applyFont="1" applyFill="1" applyAlignment="1" applyProtection="1">
      <alignment vertical="center" wrapText="1"/>
      <protection hidden="1"/>
    </xf>
    <xf numFmtId="4" fontId="2" fillId="0" borderId="12" xfId="0" applyNumberFormat="1" applyFont="1" applyFill="1" applyBorder="1" applyProtection="1">
      <protection hidden="1"/>
    </xf>
    <xf numFmtId="0" fontId="3" fillId="0" borderId="23" xfId="0" applyFont="1" applyFill="1" applyBorder="1" applyAlignment="1" applyProtection="1">
      <alignment horizontal="left" vertical="top" wrapText="1"/>
      <protection hidden="1"/>
    </xf>
    <xf numFmtId="4" fontId="3" fillId="0" borderId="0" xfId="0" applyNumberFormat="1" applyFont="1" applyFill="1" applyAlignment="1" applyProtection="1">
      <alignment vertical="top" wrapText="1"/>
      <protection hidden="1"/>
    </xf>
    <xf numFmtId="0" fontId="11" fillId="0" borderId="0" xfId="0" applyFont="1" applyFill="1" applyAlignment="1" applyProtection="1">
      <alignment horizontal="right" vertical="top" wrapText="1" indent="1"/>
      <protection hidden="1"/>
    </xf>
    <xf numFmtId="4" fontId="11" fillId="0" borderId="0" xfId="0" applyNumberFormat="1" applyFont="1" applyFill="1" applyAlignment="1" applyProtection="1">
      <alignment horizontal="right" vertical="top" wrapText="1"/>
      <protection hidden="1"/>
    </xf>
    <xf numFmtId="4" fontId="7" fillId="0" borderId="0" xfId="0" applyNumberFormat="1" applyFont="1" applyFill="1" applyAlignment="1" applyProtection="1">
      <alignment vertical="top" wrapText="1"/>
      <protection hidden="1"/>
    </xf>
    <xf numFmtId="4" fontId="8" fillId="0" borderId="0" xfId="0" applyNumberFormat="1" applyFont="1" applyFill="1" applyAlignment="1" applyProtection="1">
      <alignment vertical="top" wrapText="1"/>
      <protection hidden="1"/>
    </xf>
    <xf numFmtId="4" fontId="4" fillId="0" borderId="0" xfId="0" applyNumberFormat="1" applyFont="1" applyFill="1" applyAlignment="1" applyProtection="1">
      <alignment wrapText="1"/>
      <protection hidden="1"/>
    </xf>
    <xf numFmtId="49" fontId="12" fillId="0" borderId="1" xfId="0" quotePrefix="1" applyNumberFormat="1" applyFont="1" applyFill="1" applyBorder="1" applyAlignment="1" applyProtection="1">
      <alignment horizontal="left" vertical="top"/>
      <protection hidden="1"/>
    </xf>
    <xf numFmtId="0" fontId="12" fillId="0" borderId="0" xfId="0" applyFont="1" applyFill="1" applyAlignment="1" applyProtection="1">
      <alignment vertical="top" wrapText="1"/>
      <protection hidden="1"/>
    </xf>
    <xf numFmtId="0" fontId="12" fillId="0" borderId="0" xfId="0" applyFont="1" applyFill="1" applyAlignment="1" applyProtection="1">
      <alignment wrapText="1"/>
      <protection hidden="1"/>
    </xf>
    <xf numFmtId="4" fontId="11" fillId="0" borderId="13" xfId="0" applyNumberFormat="1" applyFont="1" applyFill="1" applyBorder="1" applyAlignment="1" applyProtection="1">
      <alignment horizontal="right" vertical="top" wrapText="1"/>
      <protection hidden="1"/>
    </xf>
    <xf numFmtId="0" fontId="7" fillId="0" borderId="0" xfId="0" applyFont="1" applyFill="1" applyAlignment="1" applyProtection="1">
      <alignment horizontal="right" vertical="top" wrapText="1"/>
      <protection hidden="1"/>
    </xf>
    <xf numFmtId="167" fontId="7" fillId="0" borderId="0" xfId="0" applyNumberFormat="1" applyFont="1" applyFill="1" applyAlignment="1" applyProtection="1">
      <alignment horizontal="left" vertical="top" wrapText="1" indent="1"/>
      <protection hidden="1"/>
    </xf>
    <xf numFmtId="168" fontId="7" fillId="0" borderId="0" xfId="0" applyNumberFormat="1" applyFont="1" applyFill="1" applyAlignment="1" applyProtection="1">
      <alignment horizontal="right" vertical="top" wrapText="1"/>
      <protection hidden="1"/>
    </xf>
    <xf numFmtId="49" fontId="3" fillId="0" borderId="13" xfId="0" applyNumberFormat="1" applyFont="1" applyFill="1" applyBorder="1" applyAlignment="1" applyProtection="1">
      <alignment vertical="top"/>
      <protection hidden="1"/>
    </xf>
    <xf numFmtId="0" fontId="2" fillId="0" borderId="13" xfId="0" applyFont="1" applyFill="1" applyBorder="1" applyAlignment="1" applyProtection="1">
      <alignment vertical="top" wrapText="1"/>
      <protection hidden="1"/>
    </xf>
    <xf numFmtId="49" fontId="2" fillId="0" borderId="13" xfId="0" quotePrefix="1" applyNumberFormat="1" applyFont="1" applyFill="1" applyBorder="1" applyAlignment="1" applyProtection="1">
      <alignment horizontal="left" vertical="top"/>
      <protection hidden="1"/>
    </xf>
    <xf numFmtId="4" fontId="2" fillId="0" borderId="24" xfId="0" applyNumberFormat="1" applyFont="1" applyFill="1" applyBorder="1" applyAlignment="1" applyProtection="1">
      <alignment horizontal="right" vertical="top" wrapText="1"/>
      <protection hidden="1"/>
    </xf>
    <xf numFmtId="4" fontId="2" fillId="0" borderId="16" xfId="0" applyNumberFormat="1" applyFont="1" applyFill="1" applyBorder="1" applyAlignment="1" applyProtection="1">
      <alignment vertical="top" wrapText="1"/>
      <protection hidden="1"/>
    </xf>
    <xf numFmtId="0" fontId="3" fillId="0" borderId="25" xfId="0" applyFont="1" applyBorder="1" applyProtection="1">
      <protection hidden="1"/>
    </xf>
    <xf numFmtId="0" fontId="3" fillId="0" borderId="26" xfId="0" applyFont="1" applyBorder="1" applyProtection="1">
      <protection hidden="1"/>
    </xf>
    <xf numFmtId="4" fontId="3" fillId="0" borderId="26" xfId="0" applyNumberFormat="1" applyFont="1" applyBorder="1" applyProtection="1">
      <protection hidden="1"/>
    </xf>
    <xf numFmtId="4" fontId="3" fillId="0" borderId="27" xfId="0" applyNumberFormat="1" applyFont="1" applyBorder="1" applyProtection="1">
      <protection hidden="1"/>
    </xf>
    <xf numFmtId="0" fontId="2" fillId="0" borderId="0" xfId="0" applyFont="1" applyProtection="1">
      <protection hidden="1"/>
    </xf>
    <xf numFmtId="0" fontId="14" fillId="0" borderId="0" xfId="4" applyFont="1" applyProtection="1">
      <protection hidden="1"/>
    </xf>
    <xf numFmtId="0" fontId="16" fillId="0" borderId="33" xfId="4" applyFont="1" applyBorder="1" applyAlignment="1" applyProtection="1">
      <alignment horizontal="center" vertical="top"/>
      <protection hidden="1"/>
    </xf>
    <xf numFmtId="4" fontId="15" fillId="0" borderId="17" xfId="4" applyNumberFormat="1" applyFont="1" applyBorder="1" applyProtection="1">
      <protection hidden="1"/>
    </xf>
    <xf numFmtId="4" fontId="15" fillId="0" borderId="36" xfId="4" applyNumberFormat="1" applyFont="1" applyBorder="1" applyProtection="1">
      <protection hidden="1"/>
    </xf>
    <xf numFmtId="0" fontId="16" fillId="0" borderId="37" xfId="4" applyFont="1" applyBorder="1" applyAlignment="1" applyProtection="1">
      <alignment horizontal="center"/>
      <protection hidden="1"/>
    </xf>
    <xf numFmtId="0" fontId="16" fillId="0" borderId="38" xfId="4" applyFont="1" applyBorder="1" applyProtection="1">
      <protection hidden="1"/>
    </xf>
    <xf numFmtId="4" fontId="15" fillId="0" borderId="37" xfId="4" applyNumberFormat="1" applyFont="1" applyBorder="1" applyProtection="1">
      <protection hidden="1"/>
    </xf>
    <xf numFmtId="4" fontId="15" fillId="0" borderId="41" xfId="4" applyNumberFormat="1" applyFont="1" applyBorder="1" applyProtection="1">
      <protection hidden="1"/>
    </xf>
    <xf numFmtId="0" fontId="15" fillId="0" borderId="31" xfId="4" applyFont="1" applyBorder="1" applyAlignment="1" applyProtection="1">
      <alignment horizontal="center"/>
      <protection hidden="1"/>
    </xf>
    <xf numFmtId="0" fontId="16" fillId="0" borderId="19" xfId="5" applyFont="1" applyBorder="1" applyProtection="1">
      <protection hidden="1"/>
    </xf>
    <xf numFmtId="4" fontId="16" fillId="0" borderId="31" xfId="4" applyNumberFormat="1" applyFont="1" applyBorder="1" applyProtection="1">
      <protection hidden="1"/>
    </xf>
    <xf numFmtId="4" fontId="16" fillId="0" borderId="32" xfId="4" applyNumberFormat="1" applyFont="1" applyBorder="1" applyProtection="1">
      <protection hidden="1"/>
    </xf>
    <xf numFmtId="0" fontId="2" fillId="0" borderId="0" xfId="4" applyProtection="1">
      <protection hidden="1"/>
    </xf>
    <xf numFmtId="0" fontId="2" fillId="0" borderId="0" xfId="0" applyFont="1" applyAlignment="1" applyProtection="1">
      <alignment horizontal="left" vertical="top"/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0" xfId="0" applyFont="1" applyProtection="1">
      <protection hidden="1"/>
    </xf>
    <xf numFmtId="49" fontId="6" fillId="0" borderId="0" xfId="0" applyNumberFormat="1" applyFont="1" applyAlignment="1" applyProtection="1">
      <alignment wrapText="1"/>
      <protection hidden="1"/>
    </xf>
    <xf numFmtId="4" fontId="2" fillId="0" borderId="0" xfId="0" applyNumberFormat="1" applyFont="1" applyProtection="1">
      <protection hidden="1"/>
    </xf>
    <xf numFmtId="0" fontId="2" fillId="0" borderId="0" xfId="0" applyFont="1" applyAlignment="1" applyProtection="1">
      <alignment horizontal="center"/>
      <protection hidden="1"/>
    </xf>
    <xf numFmtId="3" fontId="2" fillId="0" borderId="0" xfId="0" applyNumberFormat="1" applyFont="1" applyAlignment="1" applyProtection="1">
      <alignment vertical="top"/>
      <protection hidden="1"/>
    </xf>
    <xf numFmtId="0" fontId="2" fillId="0" borderId="3" xfId="0" applyFont="1" applyBorder="1" applyAlignment="1" applyProtection="1">
      <alignment horizontal="left"/>
      <protection hidden="1"/>
    </xf>
    <xf numFmtId="1" fontId="2" fillId="0" borderId="0" xfId="0" applyNumberFormat="1" applyFont="1" applyAlignment="1" applyProtection="1">
      <alignment horizontal="left" vertical="top"/>
      <protection hidden="1"/>
    </xf>
    <xf numFmtId="0" fontId="2" fillId="0" borderId="3" xfId="0" applyFont="1" applyBorder="1" applyAlignment="1" applyProtection="1">
      <alignment horizontal="center"/>
      <protection hidden="1"/>
    </xf>
    <xf numFmtId="3" fontId="2" fillId="0" borderId="0" xfId="0" applyNumberFormat="1" applyFont="1" applyAlignment="1" applyProtection="1">
      <alignment horizontal="right" vertical="top"/>
      <protection hidden="1"/>
    </xf>
    <xf numFmtId="0" fontId="2" fillId="0" borderId="4" xfId="0" applyFont="1" applyBorder="1" applyAlignment="1" applyProtection="1">
      <alignment horizontal="centerContinuous"/>
      <protection hidden="1"/>
    </xf>
    <xf numFmtId="0" fontId="2" fillId="0" borderId="5" xfId="0" applyFont="1" applyBorder="1" applyAlignment="1" applyProtection="1">
      <alignment horizontal="center" vertical="top"/>
      <protection hidden="1"/>
    </xf>
    <xf numFmtId="0" fontId="2" fillId="0" borderId="6" xfId="0" applyFont="1" applyBorder="1" applyAlignment="1" applyProtection="1">
      <alignment horizontal="center"/>
      <protection hidden="1"/>
    </xf>
    <xf numFmtId="0" fontId="3" fillId="0" borderId="7" xfId="0" applyFont="1" applyBorder="1" applyAlignment="1" applyProtection="1">
      <alignment horizontal="center" vertical="top" wrapText="1"/>
      <protection hidden="1"/>
    </xf>
    <xf numFmtId="0" fontId="3" fillId="0" borderId="8" xfId="0" applyFont="1" applyBorder="1" applyAlignment="1" applyProtection="1">
      <alignment horizontal="center" vertical="top" wrapText="1"/>
      <protection hidden="1"/>
    </xf>
    <xf numFmtId="0" fontId="2" fillId="0" borderId="8" xfId="0" applyFont="1" applyBorder="1" applyAlignment="1" applyProtection="1">
      <alignment horizontal="center" vertical="top" wrapText="1"/>
      <protection hidden="1"/>
    </xf>
    <xf numFmtId="0" fontId="2" fillId="0" borderId="9" xfId="0" applyFont="1" applyBorder="1" applyAlignment="1" applyProtection="1">
      <alignment horizontal="center" vertical="top" wrapText="1"/>
      <protection hidden="1"/>
    </xf>
    <xf numFmtId="4" fontId="2" fillId="0" borderId="10" xfId="0" applyNumberFormat="1" applyFont="1" applyBorder="1" applyAlignment="1" applyProtection="1">
      <alignment vertical="top" wrapText="1"/>
      <protection hidden="1"/>
    </xf>
    <xf numFmtId="0" fontId="2" fillId="0" borderId="8" xfId="0" quotePrefix="1" applyFont="1" applyBorder="1" applyAlignment="1" applyProtection="1">
      <alignment horizontal="center" vertical="top" wrapText="1"/>
      <protection hidden="1"/>
    </xf>
    <xf numFmtId="3" fontId="2" fillId="0" borderId="11" xfId="0" applyNumberFormat="1" applyFont="1" applyBorder="1" applyAlignment="1" applyProtection="1">
      <alignment horizontal="center" vertical="top" wrapText="1"/>
      <protection hidden="1"/>
    </xf>
    <xf numFmtId="0" fontId="3" fillId="0" borderId="2" xfId="0" applyFont="1" applyBorder="1" applyAlignment="1" applyProtection="1">
      <alignment horizontal="center" vertical="top" wrapText="1"/>
      <protection hidden="1"/>
    </xf>
    <xf numFmtId="0" fontId="3" fillId="0" borderId="1" xfId="0" applyFont="1" applyBorder="1" applyAlignment="1" applyProtection="1">
      <alignment vertical="top" wrapText="1"/>
      <protection hidden="1"/>
    </xf>
    <xf numFmtId="164" fontId="3" fillId="0" borderId="1" xfId="0" applyNumberFormat="1" applyFont="1" applyBorder="1" applyAlignment="1" applyProtection="1">
      <alignment horizontal="left" vertical="top" wrapText="1"/>
      <protection hidden="1"/>
    </xf>
    <xf numFmtId="165" fontId="3" fillId="0" borderId="1" xfId="0" applyNumberFormat="1" applyFont="1" applyBorder="1" applyAlignment="1" applyProtection="1">
      <alignment horizontal="left" vertical="top" wrapText="1"/>
      <protection hidden="1"/>
    </xf>
    <xf numFmtId="0" fontId="3" fillId="0" borderId="0" xfId="0" applyFont="1" applyAlignment="1" applyProtection="1">
      <alignment horizontal="left" vertical="top" wrapText="1"/>
      <protection hidden="1"/>
    </xf>
    <xf numFmtId="0" fontId="3" fillId="0" borderId="1" xfId="0" applyFont="1" applyBorder="1" applyAlignment="1" applyProtection="1">
      <alignment horizontal="center" vertical="top" wrapText="1"/>
      <protection hidden="1"/>
    </xf>
    <xf numFmtId="3" fontId="2" fillId="0" borderId="12" xfId="0" applyNumberFormat="1" applyFont="1" applyBorder="1" applyAlignment="1" applyProtection="1">
      <alignment horizontal="center" vertical="top" wrapText="1"/>
      <protection hidden="1"/>
    </xf>
    <xf numFmtId="0" fontId="2" fillId="0" borderId="1" xfId="0" applyFont="1" applyBorder="1" applyAlignment="1" applyProtection="1">
      <alignment horizontal="center" vertical="top" wrapText="1"/>
      <protection hidden="1"/>
    </xf>
    <xf numFmtId="0" fontId="2" fillId="0" borderId="0" xfId="0" applyFont="1" applyAlignment="1" applyProtection="1">
      <alignment horizontal="center" vertical="top" wrapText="1"/>
      <protection hidden="1"/>
    </xf>
    <xf numFmtId="4" fontId="2" fillId="0" borderId="0" xfId="0" applyNumberFormat="1" applyFont="1" applyAlignment="1" applyProtection="1">
      <alignment vertical="top" wrapText="1"/>
      <protection hidden="1"/>
    </xf>
    <xf numFmtId="0" fontId="2" fillId="0" borderId="1" xfId="0" quotePrefix="1" applyFont="1" applyBorder="1" applyAlignment="1" applyProtection="1">
      <alignment horizontal="center" vertical="top" wrapText="1"/>
      <protection hidden="1"/>
    </xf>
    <xf numFmtId="0" fontId="6" fillId="0" borderId="2" xfId="0" applyFont="1" applyBorder="1" applyAlignment="1" applyProtection="1">
      <alignment horizontal="center" vertical="top"/>
      <protection hidden="1"/>
    </xf>
    <xf numFmtId="49" fontId="3" fillId="0" borderId="1" xfId="0" quotePrefix="1" applyNumberFormat="1" applyFont="1" applyBorder="1" applyAlignment="1" applyProtection="1">
      <alignment horizontal="left" vertical="top"/>
      <protection hidden="1"/>
    </xf>
    <xf numFmtId="49" fontId="3" fillId="0" borderId="1" xfId="0" applyNumberFormat="1" applyFont="1" applyBorder="1" applyAlignment="1" applyProtection="1">
      <alignment horizontal="left" vertical="top"/>
      <protection hidden="1"/>
    </xf>
    <xf numFmtId="0" fontId="3" fillId="0" borderId="0" xfId="0" applyFont="1" applyAlignment="1" applyProtection="1">
      <alignment vertical="top" wrapText="1"/>
      <protection hidden="1"/>
    </xf>
    <xf numFmtId="0" fontId="3" fillId="0" borderId="0" xfId="0" applyFont="1" applyAlignment="1" applyProtection="1">
      <alignment wrapText="1"/>
      <protection hidden="1"/>
    </xf>
    <xf numFmtId="0" fontId="3" fillId="0" borderId="1" xfId="0" applyFont="1" applyBorder="1" applyAlignment="1" applyProtection="1">
      <alignment horizontal="center" vertical="top"/>
      <protection hidden="1"/>
    </xf>
    <xf numFmtId="4" fontId="3" fillId="0" borderId="12" xfId="0" applyNumberFormat="1" applyFont="1" applyBorder="1" applyAlignment="1" applyProtection="1">
      <alignment vertical="top" wrapText="1"/>
      <protection hidden="1"/>
    </xf>
    <xf numFmtId="49" fontId="7" fillId="0" borderId="0" xfId="0" applyNumberFormat="1" applyFont="1" applyAlignment="1" applyProtection="1">
      <alignment horizontal="left" vertical="top" wrapText="1" indent="1"/>
      <protection hidden="1"/>
    </xf>
    <xf numFmtId="4" fontId="7" fillId="0" borderId="13" xfId="0" applyNumberFormat="1" applyFont="1" applyBorder="1" applyAlignment="1" applyProtection="1">
      <alignment horizontal="right" wrapText="1"/>
      <protection hidden="1"/>
    </xf>
    <xf numFmtId="4" fontId="7" fillId="0" borderId="0" xfId="0" applyNumberFormat="1" applyFont="1" applyAlignment="1" applyProtection="1">
      <alignment vertical="top" wrapText="1"/>
      <protection hidden="1"/>
    </xf>
    <xf numFmtId="4" fontId="7" fillId="0" borderId="13" xfId="0" applyNumberFormat="1" applyFont="1" applyBorder="1" applyAlignment="1" applyProtection="1">
      <alignment horizontal="right" vertical="top" wrapText="1"/>
      <protection hidden="1"/>
    </xf>
    <xf numFmtId="4" fontId="8" fillId="0" borderId="13" xfId="0" applyNumberFormat="1" applyFont="1" applyBorder="1" applyAlignment="1" applyProtection="1">
      <alignment horizontal="right" vertical="top" wrapText="1"/>
      <protection hidden="1"/>
    </xf>
    <xf numFmtId="4" fontId="7" fillId="0" borderId="0" xfId="0" applyNumberFormat="1" applyFont="1" applyAlignment="1" applyProtection="1">
      <alignment horizontal="right" vertical="top" wrapText="1"/>
      <protection hidden="1"/>
    </xf>
    <xf numFmtId="0" fontId="2" fillId="0" borderId="2" xfId="0" applyFont="1" applyBorder="1" applyAlignment="1" applyProtection="1">
      <alignment vertical="top" wrapText="1"/>
      <protection hidden="1"/>
    </xf>
    <xf numFmtId="0" fontId="2" fillId="0" borderId="1" xfId="0" applyFont="1" applyBorder="1" applyAlignment="1" applyProtection="1">
      <alignment vertical="top" wrapText="1"/>
      <protection hidden="1"/>
    </xf>
    <xf numFmtId="49" fontId="3" fillId="0" borderId="1" xfId="0" applyNumberFormat="1" applyFont="1" applyBorder="1" applyAlignment="1" applyProtection="1">
      <alignment horizontal="left" vertical="top" wrapText="1"/>
      <protection hidden="1"/>
    </xf>
    <xf numFmtId="49" fontId="2" fillId="0" borderId="1" xfId="0" applyNumberFormat="1" applyFont="1" applyBorder="1" applyAlignment="1" applyProtection="1">
      <alignment horizontal="left" vertical="top" wrapText="1"/>
      <protection hidden="1"/>
    </xf>
    <xf numFmtId="0" fontId="2" fillId="0" borderId="0" xfId="0" applyFont="1" applyAlignment="1" applyProtection="1">
      <alignment horizontal="left" vertical="top" wrapText="1"/>
      <protection hidden="1"/>
    </xf>
    <xf numFmtId="166" fontId="7" fillId="0" borderId="0" xfId="0" applyNumberFormat="1" applyFont="1" applyAlignment="1" applyProtection="1">
      <alignment horizontal="right" vertical="top" wrapText="1"/>
      <protection hidden="1"/>
    </xf>
    <xf numFmtId="3" fontId="2" fillId="0" borderId="12" xfId="0" applyNumberFormat="1" applyFont="1" applyBorder="1" applyAlignment="1" applyProtection="1">
      <alignment horizontal="right" vertical="top" wrapText="1"/>
      <protection hidden="1"/>
    </xf>
    <xf numFmtId="49" fontId="3" fillId="0" borderId="1" xfId="0" applyNumberFormat="1" applyFont="1" applyBorder="1" applyAlignment="1" applyProtection="1">
      <alignment vertical="top"/>
      <protection hidden="1"/>
    </xf>
    <xf numFmtId="0" fontId="3" fillId="0" borderId="0" xfId="0" applyFont="1" applyAlignment="1" applyProtection="1">
      <alignment vertical="center" wrapText="1"/>
      <protection hidden="1"/>
    </xf>
    <xf numFmtId="0" fontId="2" fillId="0" borderId="1" xfId="0" applyFont="1" applyBorder="1" applyAlignment="1" applyProtection="1">
      <alignment horizontal="center" vertical="top"/>
      <protection hidden="1"/>
    </xf>
    <xf numFmtId="49" fontId="12" fillId="0" borderId="1" xfId="0" quotePrefix="1" applyNumberFormat="1" applyFont="1" applyBorder="1" applyAlignment="1" applyProtection="1">
      <alignment horizontal="left" vertical="top"/>
      <protection hidden="1"/>
    </xf>
    <xf numFmtId="0" fontId="12" fillId="0" borderId="0" xfId="0" applyFont="1" applyAlignment="1" applyProtection="1">
      <alignment wrapText="1"/>
      <protection hidden="1"/>
    </xf>
    <xf numFmtId="4" fontId="2" fillId="0" borderId="12" xfId="0" applyNumberFormat="1" applyFont="1" applyBorder="1" applyAlignment="1" applyProtection="1">
      <alignment vertical="top" wrapText="1"/>
      <protection hidden="1"/>
    </xf>
    <xf numFmtId="4" fontId="7" fillId="0" borderId="13" xfId="0" applyNumberFormat="1" applyFont="1" applyBorder="1" applyAlignment="1" applyProtection="1">
      <alignment wrapText="1"/>
      <protection hidden="1"/>
    </xf>
    <xf numFmtId="0" fontId="2" fillId="0" borderId="1" xfId="0" applyFont="1" applyBorder="1" applyAlignment="1" applyProtection="1">
      <alignment horizontal="left" vertical="top" wrapText="1"/>
      <protection hidden="1"/>
    </xf>
    <xf numFmtId="0" fontId="2" fillId="0" borderId="23" xfId="0" applyFont="1" applyBorder="1" applyAlignment="1" applyProtection="1">
      <alignment horizontal="left" vertical="top" wrapText="1"/>
      <protection hidden="1"/>
    </xf>
    <xf numFmtId="3" fontId="2" fillId="0" borderId="12" xfId="0" applyNumberFormat="1" applyFont="1" applyBorder="1" applyAlignment="1" applyProtection="1">
      <alignment vertical="top" wrapText="1"/>
      <protection hidden="1"/>
    </xf>
    <xf numFmtId="0" fontId="3" fillId="0" borderId="14" xfId="0" applyFont="1" applyBorder="1" applyAlignment="1" applyProtection="1">
      <alignment horizontal="center" vertical="top" wrapText="1"/>
      <protection hidden="1"/>
    </xf>
    <xf numFmtId="0" fontId="3" fillId="0" borderId="15" xfId="0" applyFont="1" applyBorder="1" applyAlignment="1" applyProtection="1">
      <alignment horizontal="center" vertical="top" wrapText="1"/>
      <protection hidden="1"/>
    </xf>
    <xf numFmtId="0" fontId="3" fillId="0" borderId="6" xfId="0" applyFont="1" applyBorder="1" applyAlignment="1" applyProtection="1">
      <alignment vertical="top" wrapText="1"/>
      <protection hidden="1"/>
    </xf>
    <xf numFmtId="0" fontId="2" fillId="0" borderId="15" xfId="0" applyFont="1" applyBorder="1" applyAlignment="1" applyProtection="1">
      <alignment horizontal="left" vertical="top" wrapText="1"/>
      <protection hidden="1"/>
    </xf>
    <xf numFmtId="0" fontId="2" fillId="0" borderId="3" xfId="0" applyFont="1" applyBorder="1" applyAlignment="1" applyProtection="1">
      <alignment horizontal="left" vertical="top" wrapText="1"/>
      <protection hidden="1"/>
    </xf>
    <xf numFmtId="4" fontId="2" fillId="0" borderId="3" xfId="0" applyNumberFormat="1" applyFont="1" applyBorder="1" applyAlignment="1" applyProtection="1">
      <alignment vertical="top" wrapText="1"/>
      <protection hidden="1"/>
    </xf>
    <xf numFmtId="0" fontId="2" fillId="0" borderId="6" xfId="0" applyFont="1" applyBorder="1" applyAlignment="1" applyProtection="1">
      <alignment horizontal="center" vertical="top" wrapText="1"/>
      <protection hidden="1"/>
    </xf>
    <xf numFmtId="3" fontId="2" fillId="0" borderId="16" xfId="0" applyNumberFormat="1" applyFont="1" applyBorder="1" applyAlignment="1" applyProtection="1">
      <alignment vertical="top" wrapText="1"/>
      <protection hidden="1"/>
    </xf>
    <xf numFmtId="3" fontId="2" fillId="0" borderId="0" xfId="0" applyNumberFormat="1" applyFont="1" applyProtection="1">
      <protection hidden="1"/>
    </xf>
    <xf numFmtId="0" fontId="16" fillId="0" borderId="0" xfId="4" applyFont="1" applyAlignment="1" applyProtection="1">
      <alignment horizontal="left" vertical="top" wrapText="1"/>
      <protection hidden="1"/>
    </xf>
    <xf numFmtId="0" fontId="1" fillId="0" borderId="0" xfId="6" applyProtection="1">
      <protection hidden="1"/>
    </xf>
    <xf numFmtId="0" fontId="17" fillId="3" borderId="42" xfId="7" applyBorder="1" applyProtection="1">
      <protection hidden="1"/>
    </xf>
    <xf numFmtId="0" fontId="17" fillId="3" borderId="34" xfId="7" applyBorder="1" applyProtection="1">
      <protection hidden="1"/>
    </xf>
    <xf numFmtId="0" fontId="17" fillId="3" borderId="43" xfId="7" applyBorder="1" applyProtection="1">
      <protection hidden="1"/>
    </xf>
    <xf numFmtId="0" fontId="17" fillId="3" borderId="44" xfId="7" applyBorder="1" applyAlignment="1" applyProtection="1">
      <alignment horizontal="center"/>
      <protection hidden="1"/>
    </xf>
    <xf numFmtId="0" fontId="18" fillId="0" borderId="45" xfId="8" quotePrefix="1" applyBorder="1" applyProtection="1">
      <protection hidden="1"/>
    </xf>
    <xf numFmtId="0" fontId="18" fillId="0" borderId="46" xfId="8" applyBorder="1" applyProtection="1">
      <protection hidden="1"/>
    </xf>
    <xf numFmtId="0" fontId="18" fillId="0" borderId="47" xfId="8" applyBorder="1" applyProtection="1">
      <protection hidden="1"/>
    </xf>
    <xf numFmtId="169" fontId="18" fillId="0" borderId="48" xfId="8" applyNumberFormat="1" applyBorder="1" applyProtection="1">
      <protection hidden="1"/>
    </xf>
    <xf numFmtId="0" fontId="18" fillId="0" borderId="49" xfId="8" quotePrefix="1" applyBorder="1" applyProtection="1">
      <protection hidden="1"/>
    </xf>
    <xf numFmtId="0" fontId="18" fillId="0" borderId="50" xfId="8" applyBorder="1" applyProtection="1">
      <protection hidden="1"/>
    </xf>
    <xf numFmtId="169" fontId="18" fillId="0" borderId="51" xfId="8" applyNumberFormat="1" applyBorder="1" applyProtection="1">
      <protection hidden="1"/>
    </xf>
    <xf numFmtId="169" fontId="17" fillId="0" borderId="44" xfId="9" applyNumberFormat="1" applyBorder="1" applyProtection="1">
      <protection hidden="1"/>
    </xf>
    <xf numFmtId="0" fontId="15" fillId="0" borderId="39" xfId="4" applyFont="1" applyBorder="1" applyAlignment="1" applyProtection="1">
      <alignment horizontal="center"/>
      <protection hidden="1"/>
    </xf>
    <xf numFmtId="0" fontId="15" fillId="0" borderId="40" xfId="4" applyFont="1" applyBorder="1" applyAlignment="1" applyProtection="1">
      <alignment horizontal="center"/>
      <protection hidden="1"/>
    </xf>
    <xf numFmtId="0" fontId="15" fillId="0" borderId="3" xfId="4" applyFont="1" applyBorder="1" applyAlignment="1" applyProtection="1">
      <alignment horizontal="center"/>
      <protection hidden="1"/>
    </xf>
    <xf numFmtId="0" fontId="15" fillId="0" borderId="16" xfId="4" applyFont="1" applyBorder="1" applyAlignment="1" applyProtection="1">
      <alignment horizontal="center"/>
      <protection hidden="1"/>
    </xf>
    <xf numFmtId="0" fontId="14" fillId="0" borderId="0" xfId="4" applyFont="1" applyAlignment="1" applyProtection="1">
      <alignment horizontal="center"/>
      <protection hidden="1"/>
    </xf>
    <xf numFmtId="0" fontId="15" fillId="2" borderId="28" xfId="4" applyFont="1" applyFill="1" applyBorder="1" applyAlignment="1" applyProtection="1">
      <alignment horizontal="center"/>
      <protection hidden="1"/>
    </xf>
    <xf numFmtId="0" fontId="15" fillId="2" borderId="10" xfId="4" applyFont="1" applyFill="1" applyBorder="1" applyAlignment="1" applyProtection="1">
      <alignment horizontal="center"/>
      <protection hidden="1"/>
    </xf>
    <xf numFmtId="0" fontId="15" fillId="2" borderId="29" xfId="4" applyFont="1" applyFill="1" applyBorder="1" applyAlignment="1" applyProtection="1">
      <alignment horizontal="center"/>
      <protection hidden="1"/>
    </xf>
    <xf numFmtId="0" fontId="15" fillId="2" borderId="31" xfId="4" applyFont="1" applyFill="1" applyBorder="1" applyAlignment="1" applyProtection="1">
      <alignment horizontal="center"/>
      <protection hidden="1"/>
    </xf>
    <xf numFmtId="0" fontId="15" fillId="2" borderId="3" xfId="4" applyFont="1" applyFill="1" applyBorder="1" applyAlignment="1" applyProtection="1">
      <alignment horizontal="center"/>
      <protection hidden="1"/>
    </xf>
    <xf numFmtId="0" fontId="15" fillId="2" borderId="16" xfId="4" applyFont="1" applyFill="1" applyBorder="1" applyAlignment="1" applyProtection="1">
      <alignment horizontal="center"/>
      <protection hidden="1"/>
    </xf>
    <xf numFmtId="4" fontId="16" fillId="3" borderId="30" xfId="5" applyNumberFormat="1" applyFont="1" applyFill="1" applyBorder="1" applyAlignment="1" applyProtection="1">
      <alignment horizontal="center" vertical="center" wrapText="1"/>
      <protection hidden="1"/>
    </xf>
    <xf numFmtId="4" fontId="16" fillId="3" borderId="32" xfId="5" applyNumberFormat="1" applyFont="1" applyFill="1" applyBorder="1" applyAlignment="1" applyProtection="1">
      <alignment horizontal="center" vertical="center" wrapText="1"/>
      <protection hidden="1"/>
    </xf>
    <xf numFmtId="4" fontId="16" fillId="3" borderId="10" xfId="5" quotePrefix="1" applyNumberFormat="1" applyFont="1" applyFill="1" applyBorder="1" applyAlignment="1" applyProtection="1">
      <alignment horizontal="center" vertical="center" wrapText="1"/>
      <protection hidden="1"/>
    </xf>
    <xf numFmtId="4" fontId="16" fillId="3" borderId="3" xfId="5" applyNumberFormat="1" applyFont="1" applyFill="1" applyBorder="1" applyAlignment="1" applyProtection="1">
      <alignment horizontal="center" vertical="center" wrapText="1"/>
      <protection hidden="1"/>
    </xf>
    <xf numFmtId="0" fontId="15" fillId="0" borderId="34" xfId="4" applyFont="1" applyBorder="1" applyAlignment="1" applyProtection="1">
      <alignment horizontal="center"/>
      <protection hidden="1"/>
    </xf>
    <xf numFmtId="0" fontId="15" fillId="0" borderId="35" xfId="4" applyFont="1" applyBorder="1" applyAlignment="1" applyProtection="1">
      <alignment horizontal="center"/>
      <protection hidden="1"/>
    </xf>
    <xf numFmtId="0" fontId="17" fillId="0" borderId="25" xfId="9" applyBorder="1" applyProtection="1">
      <protection hidden="1"/>
    </xf>
    <xf numFmtId="0" fontId="17" fillId="0" borderId="26" xfId="9" applyBorder="1" applyProtection="1">
      <protection hidden="1"/>
    </xf>
    <xf numFmtId="0" fontId="17" fillId="0" borderId="52" xfId="9" applyBorder="1" applyProtection="1">
      <protection hidden="1"/>
    </xf>
    <xf numFmtId="0" fontId="19" fillId="0" borderId="0" xfId="6" applyFont="1" applyAlignment="1" applyProtection="1">
      <alignment horizontal="center"/>
      <protection hidden="1"/>
    </xf>
    <xf numFmtId="4" fontId="2" fillId="0" borderId="21" xfId="0" applyNumberFormat="1" applyFont="1" applyBorder="1" applyAlignment="1" applyProtection="1">
      <alignment horizontal="center" vertical="center" wrapText="1"/>
      <protection hidden="1"/>
    </xf>
    <xf numFmtId="4" fontId="2" fillId="0" borderId="22" xfId="0" applyNumberFormat="1" applyFont="1" applyBorder="1" applyAlignment="1" applyProtection="1">
      <alignment horizontal="center" vertical="center" wrapText="1"/>
      <protection hidden="1"/>
    </xf>
    <xf numFmtId="0" fontId="2" fillId="0" borderId="17" xfId="0" applyFont="1" applyBorder="1" applyAlignment="1" applyProtection="1">
      <alignment horizontal="center" vertical="top"/>
      <protection hidden="1"/>
    </xf>
    <xf numFmtId="0" fontId="2" fillId="0" borderId="4" xfId="0" applyFont="1" applyBorder="1" applyAlignment="1" applyProtection="1">
      <alignment horizontal="center" vertical="top"/>
      <protection hidden="1"/>
    </xf>
    <xf numFmtId="0" fontId="2" fillId="0" borderId="9" xfId="0" applyFont="1" applyBorder="1" applyAlignment="1" applyProtection="1">
      <alignment horizontal="center" vertical="center" wrapText="1"/>
      <protection hidden="1"/>
    </xf>
    <xf numFmtId="0" fontId="2" fillId="0" borderId="18" xfId="0" applyFont="1" applyBorder="1" applyAlignment="1" applyProtection="1">
      <alignment horizontal="center" vertical="center" wrapText="1"/>
      <protection hidden="1"/>
    </xf>
    <xf numFmtId="0" fontId="2" fillId="0" borderId="19" xfId="0" applyFont="1" applyBorder="1" applyAlignment="1" applyProtection="1">
      <alignment horizontal="center" vertical="center" wrapText="1"/>
      <protection hidden="1"/>
    </xf>
    <xf numFmtId="0" fontId="2" fillId="0" borderId="15" xfId="0" applyFont="1" applyBorder="1" applyAlignment="1" applyProtection="1">
      <alignment horizontal="center" vertical="center" wrapText="1"/>
      <protection hidden="1"/>
    </xf>
    <xf numFmtId="0" fontId="2" fillId="0" borderId="4" xfId="0" quotePrefix="1" applyFont="1" applyBorder="1" applyAlignment="1" applyProtection="1">
      <alignment horizontal="center" vertical="center"/>
      <protection hidden="1"/>
    </xf>
    <xf numFmtId="0" fontId="2" fillId="0" borderId="20" xfId="0" quotePrefix="1" applyFont="1" applyBorder="1" applyAlignment="1" applyProtection="1">
      <alignment horizontal="center" vertical="center"/>
      <protection hidden="1"/>
    </xf>
    <xf numFmtId="3" fontId="2" fillId="0" borderId="21" xfId="0" applyNumberFormat="1" applyFont="1" applyBorder="1" applyAlignment="1" applyProtection="1">
      <alignment horizontal="center" vertical="center"/>
      <protection hidden="1"/>
    </xf>
    <xf numFmtId="3" fontId="2" fillId="0" borderId="22" xfId="0" applyNumberFormat="1" applyFont="1" applyBorder="1" applyAlignment="1" applyProtection="1">
      <alignment horizontal="center" vertical="center"/>
      <protection hidden="1"/>
    </xf>
    <xf numFmtId="0" fontId="2" fillId="0" borderId="17" xfId="0" applyFont="1" applyFill="1" applyBorder="1" applyAlignment="1" applyProtection="1">
      <alignment horizontal="center" vertical="top"/>
      <protection hidden="1"/>
    </xf>
    <xf numFmtId="0" fontId="2" fillId="0" borderId="4" xfId="0" applyFont="1" applyFill="1" applyBorder="1" applyAlignment="1" applyProtection="1">
      <alignment horizontal="center" vertical="top"/>
      <protection hidden="1"/>
    </xf>
    <xf numFmtId="0" fontId="2" fillId="0" borderId="9" xfId="0" applyFont="1" applyFill="1" applyBorder="1" applyAlignment="1" applyProtection="1">
      <alignment horizontal="center" vertical="center" wrapText="1"/>
      <protection hidden="1"/>
    </xf>
    <xf numFmtId="0" fontId="2" fillId="0" borderId="18" xfId="0" applyFont="1" applyFill="1" applyBorder="1" applyAlignment="1" applyProtection="1">
      <alignment horizontal="center" vertical="center" wrapText="1"/>
      <protection hidden="1"/>
    </xf>
    <xf numFmtId="0" fontId="2" fillId="0" borderId="19" xfId="0" applyFont="1" applyFill="1" applyBorder="1" applyAlignment="1" applyProtection="1">
      <alignment horizontal="center" vertical="center" wrapText="1"/>
      <protection hidden="1"/>
    </xf>
    <xf numFmtId="0" fontId="2" fillId="0" borderId="15" xfId="0" applyFont="1" applyFill="1" applyBorder="1" applyAlignment="1" applyProtection="1">
      <alignment horizontal="center" vertical="center" wrapText="1"/>
      <protection hidden="1"/>
    </xf>
    <xf numFmtId="0" fontId="2" fillId="0" borderId="4" xfId="0" quotePrefix="1" applyFont="1" applyFill="1" applyBorder="1" applyAlignment="1" applyProtection="1">
      <alignment horizontal="center" vertical="center"/>
      <protection hidden="1"/>
    </xf>
    <xf numFmtId="0" fontId="2" fillId="0" borderId="20" xfId="0" quotePrefix="1" applyFont="1" applyFill="1" applyBorder="1" applyAlignment="1" applyProtection="1">
      <alignment horizontal="center" vertical="center"/>
      <protection hidden="1"/>
    </xf>
    <xf numFmtId="3" fontId="2" fillId="0" borderId="21" xfId="0" applyNumberFormat="1" applyFont="1" applyFill="1" applyBorder="1" applyAlignment="1" applyProtection="1">
      <alignment horizontal="center" vertical="center"/>
      <protection hidden="1"/>
    </xf>
    <xf numFmtId="3" fontId="2" fillId="0" borderId="22" xfId="0" applyNumberFormat="1" applyFont="1" applyFill="1" applyBorder="1" applyAlignment="1" applyProtection="1">
      <alignment horizontal="center" vertical="center"/>
      <protection hidden="1"/>
    </xf>
    <xf numFmtId="4" fontId="2" fillId="0" borderId="21" xfId="0" applyNumberFormat="1" applyFont="1" applyFill="1" applyBorder="1" applyAlignment="1" applyProtection="1">
      <alignment horizontal="center" vertical="center"/>
      <protection hidden="1"/>
    </xf>
    <xf numFmtId="4" fontId="2" fillId="0" borderId="22" xfId="0" applyNumberFormat="1" applyFont="1" applyFill="1" applyBorder="1" applyAlignment="1" applyProtection="1">
      <alignment horizontal="center" vertical="center"/>
      <protection hidden="1"/>
    </xf>
    <xf numFmtId="4" fontId="3" fillId="4" borderId="12" xfId="0" applyNumberFormat="1" applyFont="1" applyFill="1" applyBorder="1" applyAlignment="1" applyProtection="1">
      <alignment vertical="top" wrapText="1"/>
      <protection locked="0"/>
    </xf>
    <xf numFmtId="4" fontId="3" fillId="4" borderId="12" xfId="0" applyNumberFormat="1" applyFont="1" applyFill="1" applyBorder="1" applyAlignment="1" applyProtection="1">
      <alignment vertical="top"/>
      <protection locked="0"/>
    </xf>
    <xf numFmtId="4" fontId="3" fillId="4" borderId="12" xfId="0" applyNumberFormat="1" applyFont="1" applyFill="1" applyBorder="1" applyAlignment="1" applyProtection="1">
      <alignment horizontal="right" vertical="top" wrapText="1"/>
      <protection locked="0"/>
    </xf>
  </cellXfs>
  <cellStyles count="10">
    <cellStyle name="Font_Ariel_Normal" xfId="8" xr:uid="{188A12A8-0E93-40D8-9FDF-65E67CC7003E}"/>
    <cellStyle name="Font_Ariel_Normal_Bold" xfId="9" xr:uid="{FC0FC334-7757-457D-9875-BEF639967730}"/>
    <cellStyle name="Font_Ariel_Normal_Bold_BG_Gray" xfId="7" xr:uid="{5D0D79C0-5623-4D47-9954-9CA81AFB49A1}"/>
    <cellStyle name="Normal_035-00, 036-00, 037-00" xfId="1" xr:uid="{00000000-0005-0000-0000-000000000000}"/>
    <cellStyle name="Normálna" xfId="0" builtinId="0"/>
    <cellStyle name="Normálna 2" xfId="6" xr:uid="{6074A5CB-76A6-4CE6-8914-4D0CA94E4C4C}"/>
    <cellStyle name="Normálna 3" xfId="5" xr:uid="{8FD89334-A1DD-463D-88C1-B99FAA526F52}"/>
    <cellStyle name="normálne 10" xfId="2" xr:uid="{00000000-0005-0000-0000-000002000000}"/>
    <cellStyle name="normálne_101_123" xfId="3" xr:uid="{00000000-0005-0000-0000-000003000000}"/>
    <cellStyle name="normální_vseobecne_pol_u2 " xfId="4" xr:uid="{8C6CCEC0-3150-4DEE-AF93-8239FA633266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77AD49-8816-4A3F-82B5-A9F9036BB7E0}">
  <dimension ref="A1:I7"/>
  <sheetViews>
    <sheetView showGridLines="0" zoomScaleNormal="100" workbookViewId="0">
      <selection sqref="A1:H1"/>
    </sheetView>
  </sheetViews>
  <sheetFormatPr defaultRowHeight="12.75"/>
  <cols>
    <col min="1" max="1" width="10.85546875" style="175" customWidth="1"/>
    <col min="2" max="2" width="55.85546875" style="175" customWidth="1"/>
    <col min="3" max="3" width="5.42578125" style="175" customWidth="1"/>
    <col min="4" max="4" width="10" style="175" customWidth="1"/>
    <col min="5" max="5" width="9.28515625" style="175" customWidth="1"/>
    <col min="6" max="6" width="15.140625" style="175" customWidth="1"/>
    <col min="7" max="7" width="13" style="175" customWidth="1"/>
    <col min="8" max="8" width="15" style="175" customWidth="1"/>
    <col min="9" max="16384" width="9.140625" style="175"/>
  </cols>
  <sheetData>
    <row r="1" spans="1:9" ht="15">
      <c r="A1" s="265" t="s">
        <v>565</v>
      </c>
      <c r="B1" s="265"/>
      <c r="C1" s="265"/>
      <c r="D1" s="265"/>
      <c r="E1" s="265"/>
      <c r="F1" s="265"/>
      <c r="G1" s="265"/>
      <c r="H1" s="265"/>
      <c r="I1" s="163"/>
    </row>
    <row r="2" spans="1:9" ht="13.5" thickBot="1"/>
    <row r="3" spans="1:9" ht="18.75" customHeight="1">
      <c r="A3" s="266"/>
      <c r="B3" s="267"/>
      <c r="C3" s="267"/>
      <c r="D3" s="267"/>
      <c r="E3" s="268"/>
      <c r="F3" s="272" t="s">
        <v>566</v>
      </c>
      <c r="G3" s="274" t="s">
        <v>567</v>
      </c>
      <c r="H3" s="272" t="s">
        <v>568</v>
      </c>
    </row>
    <row r="4" spans="1:9" ht="18.75" customHeight="1" thickBot="1">
      <c r="A4" s="269"/>
      <c r="B4" s="270"/>
      <c r="C4" s="270"/>
      <c r="D4" s="270"/>
      <c r="E4" s="271"/>
      <c r="F4" s="273"/>
      <c r="G4" s="275"/>
      <c r="H4" s="273"/>
    </row>
    <row r="5" spans="1:9">
      <c r="A5" s="164" t="s">
        <v>169</v>
      </c>
      <c r="B5" s="247" t="s">
        <v>170</v>
      </c>
      <c r="C5" s="276"/>
      <c r="D5" s="276"/>
      <c r="E5" s="277"/>
      <c r="F5" s="165">
        <f>'001-00'!$J$34</f>
        <v>0</v>
      </c>
      <c r="G5" s="165">
        <f>F5*0.2</f>
        <v>0</v>
      </c>
      <c r="H5" s="166">
        <f>G5+F5</f>
        <v>0</v>
      </c>
    </row>
    <row r="6" spans="1:9" ht="13.5" thickBot="1">
      <c r="A6" s="167">
        <v>45</v>
      </c>
      <c r="B6" s="168" t="s">
        <v>569</v>
      </c>
      <c r="C6" s="261"/>
      <c r="D6" s="261"/>
      <c r="E6" s="262"/>
      <c r="F6" s="169">
        <f>'Rekapitulácia objektov'!$E$6</f>
        <v>0</v>
      </c>
      <c r="G6" s="169">
        <f>F6*0.2</f>
        <v>0</v>
      </c>
      <c r="H6" s="170">
        <f>G6+F6</f>
        <v>0</v>
      </c>
    </row>
    <row r="7" spans="1:9" ht="14.25" thickTop="1" thickBot="1">
      <c r="A7" s="171"/>
      <c r="B7" s="172" t="s">
        <v>570</v>
      </c>
      <c r="C7" s="263"/>
      <c r="D7" s="263"/>
      <c r="E7" s="264"/>
      <c r="F7" s="173">
        <f>SUM(F5:F6)</f>
        <v>0</v>
      </c>
      <c r="G7" s="173">
        <f>SUM(G5:G6)</f>
        <v>0</v>
      </c>
      <c r="H7" s="174">
        <f>SUM(H5:H6)</f>
        <v>0</v>
      </c>
    </row>
  </sheetData>
  <sheetProtection algorithmName="SHA-512" hashValue="yxdQtexgHiolbEKyFpolc4MgPcQSdTei7WeFEnHxlwssK/GJs3t4Di8FHSos/q+KNK+YDtKU2LZxlb/+HlVc6w==" saltValue="yatdV/IIU26Li4bTGApnhg==" spinCount="100000" sheet="1" objects="1" scenarios="1"/>
  <mergeCells count="8">
    <mergeCell ref="C6:E6"/>
    <mergeCell ref="C7:E7"/>
    <mergeCell ref="A1:H1"/>
    <mergeCell ref="A3:E4"/>
    <mergeCell ref="F3:F4"/>
    <mergeCell ref="G3:G4"/>
    <mergeCell ref="H3:H4"/>
    <mergeCell ref="C5:E5"/>
  </mergeCells>
  <printOptions horizontalCentered="1"/>
  <pageMargins left="0.39370078740157483" right="0.39370078740157483" top="0.98425196850393704" bottom="0.59055118110236227" header="0.59055118110236227" footer="0.27559055118110237"/>
  <pageSetup paperSize="9" scale="95" orientation="landscape" r:id="rId1"/>
  <headerFooter>
    <oddHeader>&amp;LNÁZOV STAVIEB : Rekonštrukcia a obnova mostov na cestách III. triedy BBSK, oblasť JUH
STAVBA : Most ev. č. 2561-3, C III/2561 v km 6,450 – Kráľovce-Krnišov&amp;RO. Výkaz výmer a rozpočet
Rekapitulácia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AE9CCB-5D3B-4CF5-A535-464B86CD7419}">
  <sheetPr>
    <pageSetUpPr fitToPage="1"/>
  </sheetPr>
  <dimension ref="B1:E6"/>
  <sheetViews>
    <sheetView showGridLines="0" workbookViewId="0">
      <pane xSplit="1" ySplit="3" topLeftCell="B4" activePane="bottomRight" state="frozen"/>
      <selection sqref="A1:H1"/>
      <selection pane="topRight" sqref="A1:H1"/>
      <selection pane="bottomLeft" sqref="A1:H1"/>
      <selection pane="bottomRight"/>
    </sheetView>
  </sheetViews>
  <sheetFormatPr defaultRowHeight="15"/>
  <cols>
    <col min="1" max="1" width="2.28515625" style="248" customWidth="1"/>
    <col min="2" max="2" width="15.28515625" style="248" bestFit="1" customWidth="1"/>
    <col min="3" max="3" width="16.85546875" style="248" hidden="1" customWidth="1"/>
    <col min="4" max="4" width="52.5703125" style="248" bestFit="1" customWidth="1"/>
    <col min="5" max="5" width="17.28515625" style="248" customWidth="1"/>
    <col min="6" max="16384" width="9.140625" style="248"/>
  </cols>
  <sheetData>
    <row r="1" spans="2:5">
      <c r="B1" s="281" t="s">
        <v>600</v>
      </c>
      <c r="C1" s="281"/>
      <c r="D1" s="281"/>
      <c r="E1" s="281"/>
    </row>
    <row r="2" spans="2:5" ht="15.75" thickBot="1"/>
    <row r="3" spans="2:5" ht="15.75" thickBot="1">
      <c r="B3" s="249" t="s">
        <v>571</v>
      </c>
      <c r="C3" s="250" t="s">
        <v>572</v>
      </c>
      <c r="D3" s="251" t="s">
        <v>573</v>
      </c>
      <c r="E3" s="252" t="s">
        <v>599</v>
      </c>
    </row>
    <row r="4" spans="2:5">
      <c r="B4" s="253" t="s">
        <v>574</v>
      </c>
      <c r="C4" s="254" t="s">
        <v>575</v>
      </c>
      <c r="D4" s="255" t="s">
        <v>576</v>
      </c>
      <c r="E4" s="256">
        <f>'120-00'!$J$288</f>
        <v>0</v>
      </c>
    </row>
    <row r="5" spans="2:5" ht="15.75" thickBot="1">
      <c r="B5" s="257" t="s">
        <v>596</v>
      </c>
      <c r="C5" s="258" t="s">
        <v>575</v>
      </c>
      <c r="D5" s="258" t="s">
        <v>597</v>
      </c>
      <c r="E5" s="259">
        <f>'202-00'!$J$433</f>
        <v>0</v>
      </c>
    </row>
    <row r="6" spans="2:5" ht="15.75" thickBot="1">
      <c r="B6" s="278" t="s">
        <v>577</v>
      </c>
      <c r="C6" s="279"/>
      <c r="D6" s="280"/>
      <c r="E6" s="260">
        <f>SUM(E4:E5)</f>
        <v>0</v>
      </c>
    </row>
  </sheetData>
  <sheetProtection algorithmName="SHA-512" hashValue="hbB/VpxqlS8Q7LNKV1yDm752NRmMGpOicsSm4h66mEPyjgx16N0RpP8zLu7fW7bkvLS4+rIYKxO/C5OYFu5MjA==" saltValue="slDQZ97xoR8IrpUisARisw==" spinCount="100000" sheet="1" objects="1" scenarios="1"/>
  <mergeCells count="2">
    <mergeCell ref="B6:D6"/>
    <mergeCell ref="B1:E1"/>
  </mergeCells>
  <printOptions horizontalCentered="1"/>
  <pageMargins left="0.39370078740157483" right="0.39370078740157483" top="0.98425196850393704" bottom="0.59055118110236227" header="0.59055118110236227" footer="0.27559055118110237"/>
  <pageSetup paperSize="9" fitToHeight="0" orientation="landscape" r:id="rId1"/>
  <headerFooter>
    <oddHeader>&amp;LNÁZOV STAVIEB : Rekonštrukcia a obnova mostov na cestách III. triedy BBSK, oblasť JUH
STAVBA : Most ev. č. 2561-3, C III/2561 v km 6,450 – Kráľovce-Krnišov&amp;RO. Výkaz výmer a rozpočet
Rekapitulácia objektov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875ED8-3923-4B3E-915B-6BFAC9800EB3}">
  <dimension ref="A1:J34"/>
  <sheetViews>
    <sheetView showGridLines="0" tabSelected="1" zoomScaleNormal="100" workbookViewId="0">
      <pane ySplit="4" topLeftCell="A5" activePane="bottomLeft" state="frozen"/>
      <selection sqref="A1:H1"/>
      <selection pane="bottomLeft"/>
    </sheetView>
  </sheetViews>
  <sheetFormatPr defaultRowHeight="12.75"/>
  <cols>
    <col min="1" max="1" width="4.7109375" style="162" customWidth="1"/>
    <col min="2" max="2" width="9.28515625" style="162" customWidth="1"/>
    <col min="3" max="3" width="9" style="162" customWidth="1"/>
    <col min="4" max="4" width="10.85546875" style="162" customWidth="1"/>
    <col min="5" max="5" width="52.7109375" style="162" customWidth="1"/>
    <col min="6" max="6" width="9.85546875" style="180" customWidth="1"/>
    <col min="7" max="7" width="5.7109375" style="162" customWidth="1"/>
    <col min="8" max="9" width="10.140625" style="246" customWidth="1"/>
    <col min="10" max="10" width="14.85546875" style="246" customWidth="1"/>
    <col min="11" max="16384" width="9.140625" style="162"/>
  </cols>
  <sheetData>
    <row r="1" spans="1:10">
      <c r="A1" s="176" t="s">
        <v>15</v>
      </c>
      <c r="B1" s="176"/>
      <c r="C1" s="177"/>
      <c r="D1" s="178"/>
      <c r="E1" s="179" t="s">
        <v>578</v>
      </c>
      <c r="G1" s="181"/>
      <c r="H1" s="182"/>
      <c r="I1" s="182"/>
      <c r="J1" s="182"/>
    </row>
    <row r="2" spans="1:10" ht="13.5" thickBot="1">
      <c r="A2" s="183"/>
      <c r="B2" s="176"/>
      <c r="C2" s="177"/>
      <c r="D2" s="178"/>
      <c r="E2" s="184"/>
      <c r="G2" s="185"/>
      <c r="H2" s="186"/>
      <c r="I2" s="186"/>
      <c r="J2" s="186"/>
    </row>
    <row r="3" spans="1:10">
      <c r="A3" s="284" t="s">
        <v>17</v>
      </c>
      <c r="B3" s="285"/>
      <c r="C3" s="285"/>
      <c r="D3" s="187"/>
      <c r="E3" s="286" t="s">
        <v>18</v>
      </c>
      <c r="F3" s="287"/>
      <c r="G3" s="290" t="s">
        <v>19</v>
      </c>
      <c r="H3" s="292" t="s">
        <v>20</v>
      </c>
      <c r="I3" s="282" t="s">
        <v>562</v>
      </c>
      <c r="J3" s="282" t="s">
        <v>563</v>
      </c>
    </row>
    <row r="4" spans="1:10" ht="13.5" thickBot="1">
      <c r="A4" s="188" t="s">
        <v>21</v>
      </c>
      <c r="B4" s="189" t="s">
        <v>24</v>
      </c>
      <c r="C4" s="189" t="s">
        <v>22</v>
      </c>
      <c r="D4" s="189" t="s">
        <v>23</v>
      </c>
      <c r="E4" s="288"/>
      <c r="F4" s="289"/>
      <c r="G4" s="291"/>
      <c r="H4" s="293"/>
      <c r="I4" s="283"/>
      <c r="J4" s="283"/>
    </row>
    <row r="5" spans="1:10">
      <c r="A5" s="190"/>
      <c r="B5" s="191"/>
      <c r="C5" s="191"/>
      <c r="D5" s="192"/>
      <c r="E5" s="193"/>
      <c r="F5" s="194"/>
      <c r="G5" s="195"/>
      <c r="H5" s="196"/>
      <c r="I5" s="196"/>
      <c r="J5" s="196"/>
    </row>
    <row r="6" spans="1:10">
      <c r="A6" s="197"/>
      <c r="B6" s="198" t="s">
        <v>169</v>
      </c>
      <c r="C6" s="199"/>
      <c r="D6" s="200"/>
      <c r="E6" s="201" t="s">
        <v>170</v>
      </c>
      <c r="F6" s="201"/>
      <c r="G6" s="202"/>
      <c r="H6" s="203"/>
      <c r="I6" s="203"/>
      <c r="J6" s="203"/>
    </row>
    <row r="7" spans="1:10">
      <c r="A7" s="197"/>
      <c r="B7" s="202"/>
      <c r="C7" s="202"/>
      <c r="D7" s="204"/>
      <c r="E7" s="205"/>
      <c r="F7" s="206"/>
      <c r="G7" s="207"/>
      <c r="H7" s="203"/>
      <c r="I7" s="203"/>
      <c r="J7" s="203"/>
    </row>
    <row r="8" spans="1:10">
      <c r="A8" s="208">
        <f>MAX(A$1:A7)+1</f>
        <v>1</v>
      </c>
      <c r="B8" s="202"/>
      <c r="C8" s="209" t="s">
        <v>579</v>
      </c>
      <c r="D8" s="210"/>
      <c r="E8" s="211" t="s">
        <v>580</v>
      </c>
      <c r="F8" s="212"/>
      <c r="G8" s="213" t="s">
        <v>219</v>
      </c>
      <c r="H8" s="214">
        <v>1</v>
      </c>
      <c r="I8" s="306"/>
      <c r="J8" s="214">
        <f t="shared" ref="J8:J21" si="0">I8*H8</f>
        <v>0</v>
      </c>
    </row>
    <row r="9" spans="1:10">
      <c r="A9" s="197"/>
      <c r="B9" s="202"/>
      <c r="C9" s="202"/>
      <c r="D9" s="204"/>
      <c r="E9" s="215" t="s">
        <v>581</v>
      </c>
      <c r="F9" s="216"/>
      <c r="G9" s="207"/>
      <c r="H9" s="203"/>
      <c r="I9" s="203"/>
      <c r="J9" s="203"/>
    </row>
    <row r="10" spans="1:10">
      <c r="A10" s="197"/>
      <c r="B10" s="202"/>
      <c r="C10" s="202"/>
      <c r="D10" s="204"/>
      <c r="E10" s="215" t="s">
        <v>582</v>
      </c>
      <c r="F10" s="216"/>
      <c r="G10" s="207"/>
      <c r="H10" s="203"/>
      <c r="I10" s="203"/>
      <c r="J10" s="203"/>
    </row>
    <row r="11" spans="1:10">
      <c r="A11" s="197"/>
      <c r="B11" s="202"/>
      <c r="C11" s="202"/>
      <c r="D11" s="204"/>
      <c r="E11" s="215" t="s">
        <v>583</v>
      </c>
      <c r="F11" s="216"/>
      <c r="G11" s="207"/>
      <c r="H11" s="203"/>
      <c r="I11" s="203"/>
      <c r="J11" s="203"/>
    </row>
    <row r="12" spans="1:10">
      <c r="A12" s="197"/>
      <c r="B12" s="202"/>
      <c r="C12" s="202"/>
      <c r="D12" s="204"/>
      <c r="E12" s="215"/>
      <c r="F12" s="216"/>
      <c r="G12" s="207"/>
      <c r="H12" s="203"/>
      <c r="I12" s="203"/>
      <c r="J12" s="203"/>
    </row>
    <row r="13" spans="1:10">
      <c r="A13" s="208">
        <f>MAX(A$1:A12)+1</f>
        <v>2</v>
      </c>
      <c r="B13" s="202"/>
      <c r="C13" s="209" t="s">
        <v>584</v>
      </c>
      <c r="D13" s="210"/>
      <c r="E13" s="211" t="s">
        <v>585</v>
      </c>
      <c r="F13" s="212"/>
      <c r="G13" s="213" t="s">
        <v>219</v>
      </c>
      <c r="H13" s="214">
        <v>1</v>
      </c>
      <c r="I13" s="306"/>
      <c r="J13" s="214">
        <f t="shared" si="0"/>
        <v>0</v>
      </c>
    </row>
    <row r="14" spans="1:10">
      <c r="A14" s="197"/>
      <c r="B14" s="202"/>
      <c r="C14" s="202"/>
      <c r="D14" s="204"/>
      <c r="E14" s="215" t="s">
        <v>586</v>
      </c>
      <c r="F14" s="217"/>
      <c r="G14" s="207"/>
      <c r="H14" s="203"/>
      <c r="I14" s="203"/>
      <c r="J14" s="203"/>
    </row>
    <row r="15" spans="1:10">
      <c r="A15" s="197"/>
      <c r="B15" s="202"/>
      <c r="C15" s="202"/>
      <c r="D15" s="204"/>
      <c r="E15" s="215" t="s">
        <v>598</v>
      </c>
      <c r="F15" s="206"/>
      <c r="G15" s="207"/>
      <c r="H15" s="203"/>
      <c r="I15" s="203"/>
      <c r="J15" s="203"/>
    </row>
    <row r="16" spans="1:10">
      <c r="A16" s="208"/>
      <c r="B16" s="202"/>
      <c r="C16" s="209"/>
      <c r="D16" s="210"/>
      <c r="E16" s="211"/>
      <c r="F16" s="212"/>
      <c r="G16" s="213"/>
      <c r="H16" s="214"/>
      <c r="I16" s="214"/>
      <c r="J16" s="214"/>
    </row>
    <row r="17" spans="1:10">
      <c r="A17" s="208">
        <f>MAX(A$1:A16)+1</f>
        <v>3</v>
      </c>
      <c r="B17" s="202"/>
      <c r="C17" s="209" t="s">
        <v>587</v>
      </c>
      <c r="D17" s="210"/>
      <c r="E17" s="211" t="s">
        <v>588</v>
      </c>
      <c r="F17" s="212"/>
      <c r="G17" s="213" t="s">
        <v>219</v>
      </c>
      <c r="H17" s="214">
        <v>1</v>
      </c>
      <c r="I17" s="306"/>
      <c r="J17" s="214">
        <f t="shared" si="0"/>
        <v>0</v>
      </c>
    </row>
    <row r="18" spans="1:10">
      <c r="A18" s="197"/>
      <c r="B18" s="202"/>
      <c r="C18" s="202"/>
      <c r="D18" s="204"/>
      <c r="E18" s="215" t="s">
        <v>586</v>
      </c>
      <c r="F18" s="218"/>
      <c r="G18" s="207"/>
      <c r="H18" s="203"/>
      <c r="I18" s="203"/>
      <c r="J18" s="203"/>
    </row>
    <row r="19" spans="1:10">
      <c r="A19" s="197"/>
      <c r="B19" s="202"/>
      <c r="C19" s="202"/>
      <c r="D19" s="204"/>
      <c r="E19" s="215" t="s">
        <v>598</v>
      </c>
      <c r="F19" s="219"/>
      <c r="G19" s="207"/>
      <c r="H19" s="203"/>
      <c r="I19" s="203"/>
      <c r="J19" s="203"/>
    </row>
    <row r="20" spans="1:10">
      <c r="A20" s="197"/>
      <c r="B20" s="202"/>
      <c r="C20" s="202"/>
      <c r="D20" s="204"/>
      <c r="E20" s="215"/>
      <c r="F20" s="220"/>
      <c r="G20" s="207"/>
      <c r="H20" s="203"/>
      <c r="I20" s="203"/>
      <c r="J20" s="203"/>
    </row>
    <row r="21" spans="1:10">
      <c r="A21" s="208">
        <f>MAX(A$1:A20)+1</f>
        <v>4</v>
      </c>
      <c r="B21" s="202"/>
      <c r="C21" s="209" t="s">
        <v>589</v>
      </c>
      <c r="D21" s="210"/>
      <c r="E21" s="211" t="s">
        <v>590</v>
      </c>
      <c r="F21" s="212"/>
      <c r="G21" s="213" t="s">
        <v>219</v>
      </c>
      <c r="H21" s="214">
        <v>1</v>
      </c>
      <c r="I21" s="306"/>
      <c r="J21" s="214">
        <f t="shared" si="0"/>
        <v>0</v>
      </c>
    </row>
    <row r="22" spans="1:10">
      <c r="A22" s="208"/>
      <c r="B22" s="202"/>
      <c r="C22" s="209"/>
      <c r="D22" s="210"/>
      <c r="E22" s="215" t="s">
        <v>591</v>
      </c>
      <c r="F22" s="212"/>
      <c r="G22" s="213"/>
      <c r="H22" s="214"/>
      <c r="I22" s="214"/>
      <c r="J22" s="214"/>
    </row>
    <row r="23" spans="1:10">
      <c r="A23" s="221"/>
      <c r="B23" s="222"/>
      <c r="C23" s="223"/>
      <c r="D23" s="224"/>
      <c r="E23" s="225"/>
      <c r="F23" s="226"/>
      <c r="G23" s="204"/>
      <c r="H23" s="227"/>
      <c r="I23" s="227"/>
      <c r="J23" s="227"/>
    </row>
    <row r="24" spans="1:10">
      <c r="A24" s="208">
        <f>MAX(A$1:A23)+1</f>
        <v>5</v>
      </c>
      <c r="B24" s="202"/>
      <c r="C24" s="209" t="s">
        <v>592</v>
      </c>
      <c r="D24" s="210"/>
      <c r="E24" s="211" t="s">
        <v>593</v>
      </c>
      <c r="F24" s="212"/>
      <c r="G24" s="213" t="s">
        <v>1</v>
      </c>
      <c r="H24" s="214">
        <v>1</v>
      </c>
      <c r="I24" s="306"/>
      <c r="J24" s="214">
        <f t="shared" ref="J24" si="1">I24*H24</f>
        <v>0</v>
      </c>
    </row>
    <row r="25" spans="1:10" ht="25.5">
      <c r="A25" s="221"/>
      <c r="B25" s="228"/>
      <c r="C25" s="228"/>
      <c r="D25" s="210"/>
      <c r="E25" s="215" t="s">
        <v>594</v>
      </c>
      <c r="F25" s="229"/>
      <c r="G25" s="230"/>
      <c r="H25" s="227"/>
      <c r="I25" s="227"/>
      <c r="J25" s="227"/>
    </row>
    <row r="26" spans="1:10">
      <c r="A26" s="221"/>
      <c r="B26" s="222"/>
      <c r="C26" s="223"/>
      <c r="D26" s="224"/>
      <c r="E26" s="225"/>
      <c r="F26" s="226"/>
      <c r="G26" s="204"/>
      <c r="H26" s="227"/>
      <c r="I26" s="227"/>
      <c r="J26" s="227"/>
    </row>
    <row r="27" spans="1:10">
      <c r="A27" s="208">
        <f>MAX(A$1:A26)+1</f>
        <v>6</v>
      </c>
      <c r="B27" s="222"/>
      <c r="C27" s="209" t="s">
        <v>601</v>
      </c>
      <c r="D27" s="210"/>
      <c r="E27" s="211" t="s">
        <v>602</v>
      </c>
      <c r="F27" s="212"/>
      <c r="G27" s="213" t="s">
        <v>2</v>
      </c>
      <c r="H27" s="214">
        <v>80</v>
      </c>
      <c r="I27" s="306"/>
      <c r="J27" s="214">
        <f t="shared" ref="J27" si="2">I27*H27</f>
        <v>0</v>
      </c>
    </row>
    <row r="28" spans="1:10">
      <c r="A28" s="208"/>
      <c r="B28" s="222"/>
      <c r="C28" s="209"/>
      <c r="D28" s="210"/>
      <c r="E28" s="215" t="s">
        <v>603</v>
      </c>
      <c r="F28" s="212"/>
      <c r="G28" s="213"/>
      <c r="H28" s="214"/>
      <c r="I28" s="214"/>
      <c r="J28" s="214"/>
    </row>
    <row r="29" spans="1:10">
      <c r="A29" s="221"/>
      <c r="B29" s="222"/>
      <c r="C29" s="223"/>
      <c r="D29" s="231"/>
      <c r="E29" s="215" t="s">
        <v>604</v>
      </c>
      <c r="F29" s="232"/>
      <c r="G29" s="204"/>
      <c r="H29" s="233"/>
      <c r="I29" s="233"/>
      <c r="J29" s="233"/>
    </row>
    <row r="30" spans="1:10" ht="25.5">
      <c r="A30" s="221"/>
      <c r="B30" s="222"/>
      <c r="C30" s="223"/>
      <c r="D30" s="231"/>
      <c r="E30" s="215" t="s">
        <v>605</v>
      </c>
      <c r="F30" s="232"/>
      <c r="G30" s="204"/>
      <c r="H30" s="233"/>
      <c r="I30" s="233"/>
      <c r="J30" s="233"/>
    </row>
    <row r="31" spans="1:10">
      <c r="A31" s="221"/>
      <c r="B31" s="222"/>
      <c r="C31" s="223"/>
      <c r="D31" s="224"/>
      <c r="E31" s="215" t="s">
        <v>606</v>
      </c>
      <c r="F31" s="234"/>
      <c r="G31" s="204"/>
      <c r="H31" s="227"/>
      <c r="I31" s="227"/>
      <c r="J31" s="227"/>
    </row>
    <row r="32" spans="1:10">
      <c r="A32" s="197"/>
      <c r="B32" s="202"/>
      <c r="C32" s="235"/>
      <c r="D32" s="235"/>
      <c r="E32" s="236"/>
      <c r="F32" s="217"/>
      <c r="G32" s="204"/>
      <c r="H32" s="237"/>
      <c r="I32" s="237"/>
      <c r="J32" s="237"/>
    </row>
    <row r="33" spans="1:10" ht="13.5" thickBot="1">
      <c r="A33" s="238"/>
      <c r="B33" s="239"/>
      <c r="C33" s="240"/>
      <c r="D33" s="241"/>
      <c r="E33" s="242"/>
      <c r="F33" s="243"/>
      <c r="G33" s="244"/>
      <c r="H33" s="245"/>
      <c r="I33" s="245"/>
      <c r="J33" s="245"/>
    </row>
    <row r="34" spans="1:10" ht="13.5" thickBot="1">
      <c r="A34" s="158"/>
      <c r="B34" s="159"/>
      <c r="C34" s="159"/>
      <c r="D34" s="159"/>
      <c r="E34" s="159" t="s">
        <v>595</v>
      </c>
      <c r="F34" s="160"/>
      <c r="G34" s="159"/>
      <c r="H34" s="160"/>
      <c r="I34" s="160"/>
      <c r="J34" s="161">
        <f>SUM(J5:J33)</f>
        <v>0</v>
      </c>
    </row>
  </sheetData>
  <sheetProtection algorithmName="SHA-512" hashValue="zAdtOjgXvjw40j9/+JfTBdJ1lRh4iDw2WVq/R9MUm4VrB10xNjvP+cqgW2efro7pmd+vECst4sowQmpfuy/iXQ==" saltValue="H7h4ZICjgr4yZATPGCV4qg==" spinCount="100000" sheet="1" objects="1" scenarios="1"/>
  <mergeCells count="6">
    <mergeCell ref="J3:J4"/>
    <mergeCell ref="A3:C3"/>
    <mergeCell ref="E3:F4"/>
    <mergeCell ref="G3:G4"/>
    <mergeCell ref="H3:H4"/>
    <mergeCell ref="I3:I4"/>
  </mergeCells>
  <pageMargins left="0.39370078740157483" right="0.19685039370078741" top="0.98425196850393704" bottom="0.98425196850393704" header="0.51181102362204722" footer="0.51181102362204722"/>
  <pageSetup paperSize="9" scale="72" orientation="portrait" r:id="rId1"/>
  <headerFooter>
    <oddHeader>&amp;LNÁZOV STAVIEB : Rekonštrukcia a obnova mostov na cestách III. triedy BBSK, oblasť JUH
STAVBA : Most ev. č. 2561-3, C III/2561 v km 6,450 – Kráľovce-Krnišov&amp;RO. Výkaz výmer a rozpočet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árok1"/>
  <dimension ref="A1:J288"/>
  <sheetViews>
    <sheetView showGridLines="0" zoomScaleNormal="100" workbookViewId="0">
      <pane ySplit="4" topLeftCell="A5" activePane="bottomLeft" state="frozen"/>
      <selection pane="bottomLeft"/>
    </sheetView>
  </sheetViews>
  <sheetFormatPr defaultRowHeight="12.75"/>
  <cols>
    <col min="1" max="1" width="4.7109375" style="56" customWidth="1"/>
    <col min="2" max="2" width="9.28515625" style="56" customWidth="1"/>
    <col min="3" max="3" width="9" style="56" customWidth="1"/>
    <col min="4" max="4" width="10.85546875" style="56" customWidth="1"/>
    <col min="5" max="5" width="52.7109375" style="56" customWidth="1"/>
    <col min="6" max="6" width="9.85546875" style="114" customWidth="1"/>
    <col min="7" max="7" width="5.7109375" style="56" customWidth="1"/>
    <col min="8" max="9" width="10.140625" style="115" customWidth="1"/>
    <col min="10" max="10" width="14.85546875" style="115" customWidth="1"/>
    <col min="11" max="16384" width="9.140625" style="56"/>
  </cols>
  <sheetData>
    <row r="1" spans="1:10">
      <c r="A1" s="1" t="s">
        <v>15</v>
      </c>
      <c r="B1" s="1"/>
      <c r="C1" s="2"/>
      <c r="D1" s="3"/>
      <c r="E1" s="55" t="s">
        <v>216</v>
      </c>
      <c r="F1" s="4"/>
      <c r="G1" s="5"/>
      <c r="H1" s="6"/>
      <c r="I1" s="6"/>
      <c r="J1" s="6"/>
    </row>
    <row r="2" spans="1:10" ht="13.5" thickBot="1">
      <c r="A2" s="7" t="s">
        <v>16</v>
      </c>
      <c r="B2" s="1"/>
      <c r="C2" s="2"/>
      <c r="D2" s="3"/>
      <c r="E2" s="8">
        <v>2111</v>
      </c>
      <c r="F2" s="4"/>
      <c r="G2" s="9"/>
      <c r="H2" s="10"/>
      <c r="I2" s="10"/>
      <c r="J2" s="10"/>
    </row>
    <row r="3" spans="1:10">
      <c r="A3" s="294" t="s">
        <v>17</v>
      </c>
      <c r="B3" s="295"/>
      <c r="C3" s="295"/>
      <c r="D3" s="11"/>
      <c r="E3" s="296" t="s">
        <v>18</v>
      </c>
      <c r="F3" s="297"/>
      <c r="G3" s="300" t="s">
        <v>19</v>
      </c>
      <c r="H3" s="302" t="s">
        <v>20</v>
      </c>
      <c r="I3" s="282" t="s">
        <v>562</v>
      </c>
      <c r="J3" s="282" t="s">
        <v>563</v>
      </c>
    </row>
    <row r="4" spans="1:10" ht="13.5" thickBot="1">
      <c r="A4" s="12" t="s">
        <v>21</v>
      </c>
      <c r="B4" s="13" t="s">
        <v>24</v>
      </c>
      <c r="C4" s="13" t="s">
        <v>22</v>
      </c>
      <c r="D4" s="13" t="s">
        <v>23</v>
      </c>
      <c r="E4" s="298"/>
      <c r="F4" s="299"/>
      <c r="G4" s="301"/>
      <c r="H4" s="303"/>
      <c r="I4" s="283"/>
      <c r="J4" s="283"/>
    </row>
    <row r="5" spans="1:10">
      <c r="A5" s="14"/>
      <c r="B5" s="15"/>
      <c r="C5" s="15"/>
      <c r="D5" s="16"/>
      <c r="E5" s="17"/>
      <c r="F5" s="18"/>
      <c r="G5" s="19"/>
      <c r="H5" s="20"/>
      <c r="I5" s="20"/>
      <c r="J5" s="20"/>
    </row>
    <row r="6" spans="1:10">
      <c r="A6" s="27"/>
      <c r="B6" s="57" t="s">
        <v>169</v>
      </c>
      <c r="C6" s="58"/>
      <c r="D6" s="59"/>
      <c r="E6" s="60" t="s">
        <v>170</v>
      </c>
      <c r="F6" s="60"/>
      <c r="G6" s="28"/>
      <c r="H6" s="32"/>
      <c r="I6" s="32"/>
      <c r="J6" s="32"/>
    </row>
    <row r="7" spans="1:10">
      <c r="A7" s="27"/>
      <c r="B7" s="28"/>
      <c r="C7" s="28"/>
      <c r="D7" s="29"/>
      <c r="E7" s="61"/>
      <c r="F7" s="62"/>
      <c r="G7" s="31"/>
      <c r="H7" s="32"/>
      <c r="I7" s="32"/>
      <c r="J7" s="32"/>
    </row>
    <row r="8" spans="1:10" ht="25.5">
      <c r="A8" s="63">
        <f>MAX(A$1:A7)+1</f>
        <v>1</v>
      </c>
      <c r="B8" s="28"/>
      <c r="C8" s="64" t="s">
        <v>201</v>
      </c>
      <c r="D8" s="65"/>
      <c r="E8" s="66" t="s">
        <v>202</v>
      </c>
      <c r="F8" s="67"/>
      <c r="G8" s="68" t="s">
        <v>0</v>
      </c>
      <c r="H8" s="21">
        <v>133.77000000000001</v>
      </c>
      <c r="I8" s="306"/>
      <c r="J8" s="21">
        <f t="shared" ref="J8:J60" si="0">I8*H8</f>
        <v>0</v>
      </c>
    </row>
    <row r="9" spans="1:10" ht="25.5">
      <c r="A9" s="27"/>
      <c r="B9" s="28"/>
      <c r="C9" s="28"/>
      <c r="D9" s="29"/>
      <c r="E9" s="22" t="s">
        <v>179</v>
      </c>
      <c r="F9" s="23">
        <f>132.7*0.44</f>
        <v>58.39</v>
      </c>
      <c r="G9" s="31"/>
      <c r="H9" s="32"/>
      <c r="I9" s="32"/>
      <c r="J9" s="32"/>
    </row>
    <row r="10" spans="1:10">
      <c r="A10" s="27"/>
      <c r="B10" s="28"/>
      <c r="C10" s="28"/>
      <c r="D10" s="29"/>
      <c r="E10" s="22" t="s">
        <v>180</v>
      </c>
      <c r="F10" s="23">
        <f>142.35*0.235</f>
        <v>33.450000000000003</v>
      </c>
      <c r="G10" s="31"/>
      <c r="H10" s="32"/>
      <c r="I10" s="32"/>
      <c r="J10" s="32"/>
    </row>
    <row r="11" spans="1:10" ht="25.5">
      <c r="A11" s="27"/>
      <c r="B11" s="28"/>
      <c r="C11" s="28"/>
      <c r="D11" s="29"/>
      <c r="E11" s="22" t="s">
        <v>182</v>
      </c>
      <c r="F11" s="23">
        <f>129.6*0.076</f>
        <v>9.85</v>
      </c>
      <c r="G11" s="31"/>
      <c r="H11" s="32"/>
      <c r="I11" s="32"/>
      <c r="J11" s="32"/>
    </row>
    <row r="12" spans="1:10" ht="25.5">
      <c r="A12" s="27"/>
      <c r="B12" s="28"/>
      <c r="C12" s="28"/>
      <c r="D12" s="29"/>
      <c r="E12" s="22" t="s">
        <v>183</v>
      </c>
      <c r="F12" s="23">
        <f>129.6*0.102</f>
        <v>13.22</v>
      </c>
      <c r="G12" s="31"/>
      <c r="H12" s="32"/>
      <c r="I12" s="32"/>
      <c r="J12" s="32"/>
    </row>
    <row r="13" spans="1:10" ht="25.5">
      <c r="A13" s="27"/>
      <c r="B13" s="28"/>
      <c r="C13" s="28"/>
      <c r="D13" s="29"/>
      <c r="E13" s="22" t="s">
        <v>181</v>
      </c>
      <c r="F13" s="24">
        <f>148.5*0.127</f>
        <v>18.86</v>
      </c>
      <c r="G13" s="31"/>
      <c r="H13" s="32"/>
      <c r="I13" s="32"/>
      <c r="J13" s="32"/>
    </row>
    <row r="14" spans="1:10">
      <c r="A14" s="27"/>
      <c r="B14" s="28"/>
      <c r="C14" s="28"/>
      <c r="D14" s="29"/>
      <c r="E14" s="25"/>
      <c r="F14" s="26">
        <f>SUM(F9:F13)</f>
        <v>133.77000000000001</v>
      </c>
      <c r="G14" s="31"/>
      <c r="H14" s="32"/>
      <c r="I14" s="32"/>
      <c r="J14" s="32"/>
    </row>
    <row r="15" spans="1:10">
      <c r="A15" s="27"/>
      <c r="B15" s="28"/>
      <c r="C15" s="28"/>
      <c r="D15" s="29"/>
      <c r="E15" s="61"/>
      <c r="F15" s="62"/>
      <c r="G15" s="31"/>
      <c r="H15" s="32"/>
      <c r="I15" s="32"/>
      <c r="J15" s="32"/>
    </row>
    <row r="16" spans="1:10">
      <c r="A16" s="63">
        <f>MAX(A$1:A15)+1</f>
        <v>2</v>
      </c>
      <c r="B16" s="28"/>
      <c r="C16" s="64" t="s">
        <v>171</v>
      </c>
      <c r="D16" s="65"/>
      <c r="E16" s="66" t="s">
        <v>172</v>
      </c>
      <c r="F16" s="67"/>
      <c r="G16" s="68" t="s">
        <v>8</v>
      </c>
      <c r="H16" s="21">
        <v>5.05</v>
      </c>
      <c r="I16" s="306"/>
      <c r="J16" s="21">
        <f t="shared" si="0"/>
        <v>0</v>
      </c>
    </row>
    <row r="17" spans="1:10">
      <c r="A17" s="27"/>
      <c r="B17" s="28"/>
      <c r="C17" s="28"/>
      <c r="D17" s="29"/>
      <c r="E17" s="69" t="s">
        <v>209</v>
      </c>
      <c r="F17" s="30"/>
      <c r="G17" s="31"/>
      <c r="H17" s="32"/>
      <c r="I17" s="32"/>
      <c r="J17" s="32"/>
    </row>
    <row r="18" spans="1:10">
      <c r="A18" s="27"/>
      <c r="B18" s="28"/>
      <c r="C18" s="28"/>
      <c r="D18" s="29"/>
      <c r="E18" s="22" t="s">
        <v>124</v>
      </c>
      <c r="F18" s="33">
        <v>2.5</v>
      </c>
      <c r="G18" s="31"/>
      <c r="H18" s="32"/>
      <c r="I18" s="32"/>
      <c r="J18" s="32"/>
    </row>
    <row r="19" spans="1:10">
      <c r="A19" s="27"/>
      <c r="B19" s="28"/>
      <c r="C19" s="28"/>
      <c r="D19" s="29"/>
      <c r="E19" s="22" t="s">
        <v>135</v>
      </c>
      <c r="F19" s="34">
        <v>2.5499999999999998</v>
      </c>
      <c r="G19" s="31"/>
      <c r="H19" s="32"/>
      <c r="I19" s="32"/>
      <c r="J19" s="32"/>
    </row>
    <row r="20" spans="1:10">
      <c r="A20" s="27"/>
      <c r="B20" s="28"/>
      <c r="C20" s="28"/>
      <c r="D20" s="29"/>
      <c r="E20" s="22"/>
      <c r="F20" s="35">
        <f>SUM(F18:F19)</f>
        <v>5.05</v>
      </c>
      <c r="G20" s="31"/>
      <c r="H20" s="32"/>
      <c r="I20" s="32"/>
      <c r="J20" s="32"/>
    </row>
    <row r="21" spans="1:10">
      <c r="A21" s="27"/>
      <c r="B21" s="28"/>
      <c r="C21" s="28"/>
      <c r="D21" s="29"/>
      <c r="E21" s="36"/>
      <c r="F21" s="30"/>
      <c r="G21" s="31"/>
      <c r="H21" s="32"/>
      <c r="I21" s="32"/>
      <c r="J21" s="32"/>
    </row>
    <row r="22" spans="1:10">
      <c r="A22" s="63">
        <f>MAX(A$1:A21)+1</f>
        <v>3</v>
      </c>
      <c r="B22" s="28"/>
      <c r="C22" s="64" t="s">
        <v>199</v>
      </c>
      <c r="D22" s="65"/>
      <c r="E22" s="66" t="s">
        <v>200</v>
      </c>
      <c r="F22" s="67"/>
      <c r="G22" s="68" t="s">
        <v>8</v>
      </c>
      <c r="H22" s="21">
        <v>51.02</v>
      </c>
      <c r="I22" s="306"/>
      <c r="J22" s="21">
        <f t="shared" si="0"/>
        <v>0</v>
      </c>
    </row>
    <row r="23" spans="1:10">
      <c r="A23" s="27"/>
      <c r="B23" s="28"/>
      <c r="C23" s="28"/>
      <c r="D23" s="29"/>
      <c r="E23" s="69" t="s">
        <v>208</v>
      </c>
      <c r="F23" s="70"/>
      <c r="G23" s="31"/>
      <c r="H23" s="32"/>
      <c r="I23" s="32"/>
      <c r="J23" s="32"/>
    </row>
    <row r="24" spans="1:10">
      <c r="A24" s="27"/>
      <c r="B24" s="28"/>
      <c r="C24" s="28"/>
      <c r="D24" s="29"/>
      <c r="E24" s="71" t="s">
        <v>207</v>
      </c>
      <c r="F24" s="33">
        <f>43.78-3.05</f>
        <v>40.729999999999997</v>
      </c>
      <c r="G24" s="31"/>
      <c r="H24" s="32"/>
      <c r="I24" s="32"/>
      <c r="J24" s="32"/>
    </row>
    <row r="25" spans="1:10">
      <c r="A25" s="27"/>
      <c r="B25" s="28"/>
      <c r="C25" s="28"/>
      <c r="D25" s="29"/>
      <c r="E25" s="71" t="s">
        <v>135</v>
      </c>
      <c r="F25" s="34">
        <v>10.29</v>
      </c>
      <c r="G25" s="31"/>
      <c r="H25" s="32"/>
      <c r="I25" s="32"/>
      <c r="J25" s="32"/>
    </row>
    <row r="26" spans="1:10">
      <c r="A26" s="27"/>
      <c r="B26" s="28"/>
      <c r="C26" s="28"/>
      <c r="D26" s="29"/>
      <c r="E26" s="72"/>
      <c r="F26" s="73">
        <f>SUM(F24:F25)</f>
        <v>51.02</v>
      </c>
      <c r="G26" s="31"/>
      <c r="H26" s="32"/>
      <c r="I26" s="32"/>
      <c r="J26" s="32"/>
    </row>
    <row r="27" spans="1:10">
      <c r="A27" s="27"/>
      <c r="B27" s="28"/>
      <c r="C27" s="28"/>
      <c r="D27" s="29"/>
      <c r="E27" s="36"/>
      <c r="F27" s="30"/>
      <c r="G27" s="31"/>
      <c r="H27" s="32"/>
      <c r="I27" s="32"/>
      <c r="J27" s="32"/>
    </row>
    <row r="28" spans="1:10" ht="25.5">
      <c r="A28" s="63">
        <f>MAX(A$1:A27)+1</f>
        <v>4</v>
      </c>
      <c r="B28" s="28"/>
      <c r="C28" s="64" t="s">
        <v>187</v>
      </c>
      <c r="D28" s="65"/>
      <c r="E28" s="66" t="s">
        <v>188</v>
      </c>
      <c r="F28" s="67"/>
      <c r="G28" s="68" t="s">
        <v>8</v>
      </c>
      <c r="H28" s="21">
        <v>10.96</v>
      </c>
      <c r="I28" s="306"/>
      <c r="J28" s="21">
        <f t="shared" si="0"/>
        <v>0</v>
      </c>
    </row>
    <row r="29" spans="1:10">
      <c r="A29" s="27"/>
      <c r="B29" s="28"/>
      <c r="C29" s="28"/>
      <c r="D29" s="29"/>
      <c r="E29" s="37" t="s">
        <v>189</v>
      </c>
      <c r="F29" s="74"/>
      <c r="G29" s="31"/>
      <c r="H29" s="32"/>
      <c r="I29" s="32"/>
      <c r="J29" s="32"/>
    </row>
    <row r="30" spans="1:10">
      <c r="A30" s="27"/>
      <c r="B30" s="28"/>
      <c r="C30" s="28"/>
      <c r="D30" s="29"/>
      <c r="E30" s="22" t="s">
        <v>185</v>
      </c>
      <c r="F30" s="33">
        <f>56*0.15</f>
        <v>8.4</v>
      </c>
      <c r="G30" s="31"/>
      <c r="H30" s="32"/>
      <c r="I30" s="32"/>
      <c r="J30" s="32"/>
    </row>
    <row r="31" spans="1:10">
      <c r="A31" s="27"/>
      <c r="B31" s="28"/>
      <c r="C31" s="28"/>
      <c r="D31" s="29"/>
      <c r="E31" s="22" t="s">
        <v>186</v>
      </c>
      <c r="F31" s="34">
        <f>17.05*0.15</f>
        <v>2.56</v>
      </c>
      <c r="G31" s="31"/>
      <c r="H31" s="32"/>
      <c r="I31" s="32"/>
      <c r="J31" s="32"/>
    </row>
    <row r="32" spans="1:10">
      <c r="A32" s="27"/>
      <c r="B32" s="28"/>
      <c r="C32" s="28"/>
      <c r="D32" s="29"/>
      <c r="E32" s="22"/>
      <c r="F32" s="35">
        <f>SUM(F30:F31)</f>
        <v>10.96</v>
      </c>
      <c r="G32" s="31"/>
      <c r="H32" s="32"/>
      <c r="I32" s="32"/>
      <c r="J32" s="32"/>
    </row>
    <row r="33" spans="1:10">
      <c r="A33" s="27"/>
      <c r="B33" s="28"/>
      <c r="C33" s="28"/>
      <c r="D33" s="29"/>
      <c r="E33" s="36"/>
      <c r="F33" s="30"/>
      <c r="G33" s="31"/>
      <c r="H33" s="32"/>
      <c r="I33" s="32"/>
      <c r="J33" s="32"/>
    </row>
    <row r="34" spans="1:10">
      <c r="A34" s="27"/>
      <c r="B34" s="28"/>
      <c r="C34" s="28"/>
      <c r="D34" s="29"/>
      <c r="E34" s="36"/>
      <c r="F34" s="30"/>
      <c r="G34" s="31"/>
      <c r="H34" s="32"/>
      <c r="I34" s="32"/>
      <c r="J34" s="32"/>
    </row>
    <row r="35" spans="1:10" ht="15.75">
      <c r="A35" s="43"/>
      <c r="B35" s="57" t="s">
        <v>25</v>
      </c>
      <c r="C35" s="75"/>
      <c r="D35" s="76"/>
      <c r="E35" s="66" t="s">
        <v>26</v>
      </c>
      <c r="F35" s="77"/>
      <c r="G35" s="78"/>
      <c r="H35" s="79"/>
      <c r="I35" s="79"/>
      <c r="J35" s="79"/>
    </row>
    <row r="36" spans="1:10">
      <c r="A36" s="27"/>
      <c r="B36" s="28"/>
      <c r="C36" s="28"/>
      <c r="D36" s="28"/>
      <c r="E36" s="25"/>
      <c r="F36" s="38"/>
      <c r="G36" s="28"/>
      <c r="H36" s="39"/>
      <c r="I36" s="39"/>
      <c r="J36" s="39"/>
    </row>
    <row r="37" spans="1:10" ht="25.5">
      <c r="A37" s="63">
        <f>MAX(A$1:A36)+1</f>
        <v>5</v>
      </c>
      <c r="B37" s="28"/>
      <c r="C37" s="64" t="s">
        <v>27</v>
      </c>
      <c r="D37" s="65"/>
      <c r="E37" s="66" t="s">
        <v>28</v>
      </c>
      <c r="F37" s="67"/>
      <c r="G37" s="68" t="s">
        <v>2</v>
      </c>
      <c r="H37" s="21">
        <f>H38</f>
        <v>132.69999999999999</v>
      </c>
      <c r="I37" s="306"/>
      <c r="J37" s="21">
        <f t="shared" si="0"/>
        <v>0</v>
      </c>
    </row>
    <row r="38" spans="1:10" ht="38.25">
      <c r="A38" s="27"/>
      <c r="B38" s="28"/>
      <c r="C38" s="28"/>
      <c r="D38" s="80" t="s">
        <v>29</v>
      </c>
      <c r="E38" s="81" t="s">
        <v>30</v>
      </c>
      <c r="F38" s="82"/>
      <c r="G38" s="83" t="s">
        <v>2</v>
      </c>
      <c r="H38" s="40">
        <v>132.69999999999999</v>
      </c>
      <c r="I38" s="40"/>
      <c r="J38" s="40"/>
    </row>
    <row r="39" spans="1:10">
      <c r="A39" s="27"/>
      <c r="B39" s="28"/>
      <c r="C39" s="28"/>
      <c r="D39" s="80"/>
      <c r="E39" s="37" t="s">
        <v>127</v>
      </c>
      <c r="F39" s="38"/>
      <c r="G39" s="83"/>
      <c r="H39" s="40"/>
      <c r="I39" s="40"/>
      <c r="J39" s="40"/>
    </row>
    <row r="40" spans="1:10">
      <c r="A40" s="27"/>
      <c r="B40" s="28"/>
      <c r="C40" s="28"/>
      <c r="D40" s="80"/>
      <c r="E40" s="22" t="s">
        <v>124</v>
      </c>
      <c r="F40" s="33">
        <v>77.95</v>
      </c>
      <c r="G40" s="83"/>
      <c r="H40" s="40"/>
      <c r="I40" s="40"/>
      <c r="J40" s="40"/>
    </row>
    <row r="41" spans="1:10">
      <c r="A41" s="27"/>
      <c r="B41" s="28"/>
      <c r="C41" s="28"/>
      <c r="D41" s="80"/>
      <c r="E41" s="22" t="s">
        <v>125</v>
      </c>
      <c r="F41" s="34">
        <v>54.75</v>
      </c>
      <c r="G41" s="83"/>
      <c r="H41" s="40"/>
      <c r="I41" s="40"/>
      <c r="J41" s="40"/>
    </row>
    <row r="42" spans="1:10">
      <c r="A42" s="27"/>
      <c r="B42" s="28"/>
      <c r="C42" s="28"/>
      <c r="D42" s="80"/>
      <c r="E42" s="66"/>
      <c r="F42" s="35">
        <f>SUM(F40:F41)</f>
        <v>132.69999999999999</v>
      </c>
      <c r="G42" s="83"/>
      <c r="H42" s="40"/>
      <c r="I42" s="40"/>
      <c r="J42" s="40"/>
    </row>
    <row r="43" spans="1:10">
      <c r="A43" s="27"/>
      <c r="B43" s="28"/>
      <c r="C43" s="28"/>
      <c r="D43" s="28"/>
      <c r="E43" s="66"/>
      <c r="F43" s="35"/>
      <c r="G43" s="28"/>
      <c r="H43" s="39"/>
      <c r="I43" s="39"/>
      <c r="J43" s="39"/>
    </row>
    <row r="44" spans="1:10" ht="38.25">
      <c r="A44" s="63">
        <f>MAX(A$1:A42)+1</f>
        <v>6</v>
      </c>
      <c r="B44" s="28"/>
      <c r="C44" s="64" t="s">
        <v>31</v>
      </c>
      <c r="D44" s="65"/>
      <c r="E44" s="66" t="s">
        <v>32</v>
      </c>
      <c r="F44" s="67"/>
      <c r="G44" s="68" t="s">
        <v>2</v>
      </c>
      <c r="H44" s="21">
        <f>H45</f>
        <v>142.35</v>
      </c>
      <c r="I44" s="306"/>
      <c r="J44" s="21">
        <f t="shared" si="0"/>
        <v>0</v>
      </c>
    </row>
    <row r="45" spans="1:10" ht="38.25">
      <c r="A45" s="27"/>
      <c r="B45" s="28"/>
      <c r="C45" s="28"/>
      <c r="D45" s="80" t="s">
        <v>33</v>
      </c>
      <c r="E45" s="81" t="s">
        <v>34</v>
      </c>
      <c r="F45" s="82"/>
      <c r="G45" s="83" t="s">
        <v>2</v>
      </c>
      <c r="H45" s="40">
        <v>142.35</v>
      </c>
      <c r="I45" s="40"/>
      <c r="J45" s="40"/>
    </row>
    <row r="46" spans="1:10">
      <c r="A46" s="27"/>
      <c r="B46" s="28"/>
      <c r="C46" s="28"/>
      <c r="D46" s="80"/>
      <c r="E46" s="37" t="s">
        <v>128</v>
      </c>
      <c r="F46" s="38"/>
      <c r="G46" s="83"/>
      <c r="H46" s="40"/>
      <c r="I46" s="40"/>
      <c r="J46" s="40"/>
    </row>
    <row r="47" spans="1:10">
      <c r="A47" s="27"/>
      <c r="B47" s="28"/>
      <c r="C47" s="28"/>
      <c r="D47" s="80"/>
      <c r="E47" s="22" t="s">
        <v>124</v>
      </c>
      <c r="F47" s="33">
        <v>84.85</v>
      </c>
      <c r="G47" s="83"/>
      <c r="H47" s="40"/>
      <c r="I47" s="40"/>
      <c r="J47" s="40"/>
    </row>
    <row r="48" spans="1:10">
      <c r="A48" s="27"/>
      <c r="B48" s="28"/>
      <c r="C48" s="28"/>
      <c r="D48" s="80"/>
      <c r="E48" s="22" t="s">
        <v>125</v>
      </c>
      <c r="F48" s="34">
        <v>57.5</v>
      </c>
      <c r="G48" s="83"/>
      <c r="H48" s="40"/>
      <c r="I48" s="40"/>
      <c r="J48" s="40"/>
    </row>
    <row r="49" spans="1:10">
      <c r="A49" s="27"/>
      <c r="B49" s="28"/>
      <c r="C49" s="28"/>
      <c r="D49" s="80"/>
      <c r="E49" s="66"/>
      <c r="F49" s="35">
        <f>SUM(F47:F48)</f>
        <v>142.35</v>
      </c>
      <c r="G49" s="83"/>
      <c r="H49" s="40"/>
      <c r="I49" s="40"/>
      <c r="J49" s="40"/>
    </row>
    <row r="50" spans="1:10">
      <c r="A50" s="27"/>
      <c r="B50" s="28"/>
      <c r="C50" s="28"/>
      <c r="D50" s="80"/>
      <c r="E50" s="81"/>
      <c r="F50" s="82"/>
      <c r="G50" s="83"/>
      <c r="H50" s="40"/>
      <c r="I50" s="40"/>
      <c r="J50" s="40"/>
    </row>
    <row r="51" spans="1:10">
      <c r="A51" s="63">
        <f>MAX(A$1:A50)+1</f>
        <v>7</v>
      </c>
      <c r="B51" s="28"/>
      <c r="C51" s="64" t="s">
        <v>35</v>
      </c>
      <c r="D51" s="65"/>
      <c r="E51" s="66" t="s">
        <v>36</v>
      </c>
      <c r="F51" s="67"/>
      <c r="G51" s="68" t="s">
        <v>0</v>
      </c>
      <c r="H51" s="21">
        <f>H52</f>
        <v>133.77000000000001</v>
      </c>
      <c r="I51" s="306"/>
      <c r="J51" s="21">
        <f t="shared" si="0"/>
        <v>0</v>
      </c>
    </row>
    <row r="52" spans="1:10">
      <c r="A52" s="27"/>
      <c r="B52" s="28"/>
      <c r="C52" s="28"/>
      <c r="D52" s="80" t="s">
        <v>37</v>
      </c>
      <c r="E52" s="81" t="s">
        <v>38</v>
      </c>
      <c r="F52" s="82"/>
      <c r="G52" s="83" t="s">
        <v>0</v>
      </c>
      <c r="H52" s="40">
        <v>133.77000000000001</v>
      </c>
      <c r="I52" s="40"/>
      <c r="J52" s="40"/>
    </row>
    <row r="53" spans="1:10" ht="25.5">
      <c r="A53" s="27"/>
      <c r="B53" s="28"/>
      <c r="C53" s="28"/>
      <c r="D53" s="28"/>
      <c r="E53" s="22" t="s">
        <v>179</v>
      </c>
      <c r="F53" s="23">
        <f>132.7*0.44</f>
        <v>58.39</v>
      </c>
      <c r="G53" s="28"/>
      <c r="H53" s="39"/>
      <c r="I53" s="39"/>
      <c r="J53" s="39"/>
    </row>
    <row r="54" spans="1:10">
      <c r="A54" s="27"/>
      <c r="B54" s="28"/>
      <c r="C54" s="28"/>
      <c r="D54" s="28"/>
      <c r="E54" s="22" t="s">
        <v>180</v>
      </c>
      <c r="F54" s="23">
        <f>142.35*0.235</f>
        <v>33.450000000000003</v>
      </c>
      <c r="G54" s="28"/>
      <c r="H54" s="39"/>
      <c r="I54" s="39"/>
      <c r="J54" s="39"/>
    </row>
    <row r="55" spans="1:10" ht="25.5">
      <c r="A55" s="27"/>
      <c r="B55" s="28"/>
      <c r="C55" s="28"/>
      <c r="D55" s="28"/>
      <c r="E55" s="22" t="s">
        <v>182</v>
      </c>
      <c r="F55" s="23">
        <f>129.6*0.076</f>
        <v>9.85</v>
      </c>
      <c r="G55" s="28"/>
      <c r="H55" s="39"/>
      <c r="I55" s="39"/>
      <c r="J55" s="39"/>
    </row>
    <row r="56" spans="1:10" ht="25.5">
      <c r="A56" s="27"/>
      <c r="B56" s="28"/>
      <c r="C56" s="28"/>
      <c r="D56" s="28"/>
      <c r="E56" s="22" t="s">
        <v>183</v>
      </c>
      <c r="F56" s="23">
        <f>129.6*0.102</f>
        <v>13.22</v>
      </c>
      <c r="G56" s="28"/>
      <c r="H56" s="39"/>
      <c r="I56" s="39"/>
      <c r="J56" s="39"/>
    </row>
    <row r="57" spans="1:10" ht="25.5">
      <c r="A57" s="27"/>
      <c r="B57" s="28"/>
      <c r="C57" s="28"/>
      <c r="D57" s="28"/>
      <c r="E57" s="22" t="s">
        <v>181</v>
      </c>
      <c r="F57" s="24">
        <f>148.5*0.127</f>
        <v>18.86</v>
      </c>
      <c r="G57" s="28"/>
      <c r="H57" s="39"/>
      <c r="I57" s="39"/>
      <c r="J57" s="39"/>
    </row>
    <row r="58" spans="1:10">
      <c r="A58" s="27"/>
      <c r="B58" s="28"/>
      <c r="C58" s="28"/>
      <c r="D58" s="28"/>
      <c r="E58" s="25"/>
      <c r="F58" s="26">
        <f>SUM(F53:F57)</f>
        <v>133.77000000000001</v>
      </c>
      <c r="G58" s="28"/>
      <c r="H58" s="39"/>
      <c r="I58" s="39"/>
      <c r="J58" s="39"/>
    </row>
    <row r="59" spans="1:10">
      <c r="A59" s="27"/>
      <c r="B59" s="28"/>
      <c r="C59" s="28"/>
      <c r="D59" s="28"/>
      <c r="E59" s="25"/>
      <c r="F59" s="38"/>
      <c r="G59" s="28"/>
      <c r="H59" s="39"/>
      <c r="I59" s="39"/>
      <c r="J59" s="39"/>
    </row>
    <row r="60" spans="1:10" ht="25.5">
      <c r="A60" s="63">
        <f>MAX(A$1:A59)+1</f>
        <v>8</v>
      </c>
      <c r="B60" s="84"/>
      <c r="C60" s="64" t="s">
        <v>39</v>
      </c>
      <c r="D60" s="65"/>
      <c r="E60" s="66" t="s">
        <v>40</v>
      </c>
      <c r="F60" s="67"/>
      <c r="G60" s="68" t="s">
        <v>2</v>
      </c>
      <c r="H60" s="85">
        <f>H61+H67+H73</f>
        <v>407.7</v>
      </c>
      <c r="I60" s="307"/>
      <c r="J60" s="85">
        <f t="shared" si="0"/>
        <v>0</v>
      </c>
    </row>
    <row r="61" spans="1:10" ht="25.5">
      <c r="A61" s="63"/>
      <c r="B61" s="84"/>
      <c r="C61" s="64"/>
      <c r="D61" s="80" t="s">
        <v>41</v>
      </c>
      <c r="E61" s="81" t="s">
        <v>42</v>
      </c>
      <c r="F61" s="82"/>
      <c r="G61" s="83" t="s">
        <v>2</v>
      </c>
      <c r="H61" s="86">
        <v>129.6</v>
      </c>
      <c r="I61" s="86"/>
      <c r="J61" s="86"/>
    </row>
    <row r="62" spans="1:10">
      <c r="A62" s="63"/>
      <c r="B62" s="84"/>
      <c r="C62" s="64"/>
      <c r="D62" s="65"/>
      <c r="E62" s="37" t="s">
        <v>126</v>
      </c>
      <c r="F62" s="67"/>
      <c r="G62" s="68"/>
      <c r="H62" s="85"/>
      <c r="I62" s="85"/>
      <c r="J62" s="85"/>
    </row>
    <row r="63" spans="1:10">
      <c r="A63" s="63"/>
      <c r="B63" s="84"/>
      <c r="C63" s="64"/>
      <c r="D63" s="65"/>
      <c r="E63" s="22" t="s">
        <v>124</v>
      </c>
      <c r="F63" s="33">
        <v>75.599999999999994</v>
      </c>
      <c r="G63" s="68"/>
      <c r="H63" s="85"/>
      <c r="I63" s="85"/>
      <c r="J63" s="85"/>
    </row>
    <row r="64" spans="1:10">
      <c r="A64" s="63"/>
      <c r="B64" s="84"/>
      <c r="C64" s="64"/>
      <c r="D64" s="65"/>
      <c r="E64" s="22" t="s">
        <v>125</v>
      </c>
      <c r="F64" s="34">
        <v>54</v>
      </c>
      <c r="G64" s="68"/>
      <c r="H64" s="85"/>
      <c r="I64" s="85"/>
      <c r="J64" s="85"/>
    </row>
    <row r="65" spans="1:10">
      <c r="A65" s="63"/>
      <c r="B65" s="84"/>
      <c r="C65" s="64"/>
      <c r="D65" s="65"/>
      <c r="E65" s="66"/>
      <c r="F65" s="35">
        <f>SUM(F63:F64)</f>
        <v>129.6</v>
      </c>
      <c r="G65" s="68"/>
      <c r="H65" s="85"/>
      <c r="I65" s="85"/>
      <c r="J65" s="85"/>
    </row>
    <row r="66" spans="1:10">
      <c r="A66" s="63"/>
      <c r="B66" s="84"/>
      <c r="C66" s="64"/>
      <c r="D66" s="65"/>
      <c r="E66" s="66"/>
      <c r="F66" s="67"/>
      <c r="G66" s="68"/>
      <c r="H66" s="85"/>
      <c r="I66" s="85"/>
      <c r="J66" s="85"/>
    </row>
    <row r="67" spans="1:10" ht="25.5">
      <c r="A67" s="63"/>
      <c r="B67" s="84"/>
      <c r="C67" s="64"/>
      <c r="D67" s="80" t="s">
        <v>43</v>
      </c>
      <c r="E67" s="81" t="s">
        <v>44</v>
      </c>
      <c r="F67" s="82"/>
      <c r="G67" s="83" t="s">
        <v>2</v>
      </c>
      <c r="H67" s="86">
        <v>129.6</v>
      </c>
      <c r="I67" s="86"/>
      <c r="J67" s="86"/>
    </row>
    <row r="68" spans="1:10">
      <c r="A68" s="63"/>
      <c r="B68" s="84"/>
      <c r="C68" s="64"/>
      <c r="D68" s="65"/>
      <c r="E68" s="37" t="s">
        <v>126</v>
      </c>
      <c r="F68" s="67"/>
      <c r="G68" s="68"/>
      <c r="H68" s="85"/>
      <c r="I68" s="85"/>
      <c r="J68" s="85"/>
    </row>
    <row r="69" spans="1:10">
      <c r="A69" s="63"/>
      <c r="B69" s="84"/>
      <c r="C69" s="64"/>
      <c r="D69" s="65"/>
      <c r="E69" s="22" t="s">
        <v>124</v>
      </c>
      <c r="F69" s="33">
        <v>75.599999999999994</v>
      </c>
      <c r="G69" s="68"/>
      <c r="H69" s="85"/>
      <c r="I69" s="85"/>
      <c r="J69" s="85"/>
    </row>
    <row r="70" spans="1:10">
      <c r="A70" s="63"/>
      <c r="B70" s="84"/>
      <c r="C70" s="64"/>
      <c r="D70" s="65"/>
      <c r="E70" s="22" t="s">
        <v>125</v>
      </c>
      <c r="F70" s="34">
        <v>54</v>
      </c>
      <c r="G70" s="68"/>
      <c r="H70" s="85"/>
      <c r="I70" s="85"/>
      <c r="J70" s="85"/>
    </row>
    <row r="71" spans="1:10">
      <c r="A71" s="63"/>
      <c r="B71" s="84"/>
      <c r="C71" s="64"/>
      <c r="D71" s="65"/>
      <c r="E71" s="66"/>
      <c r="F71" s="35">
        <f>SUM(F69:F70)</f>
        <v>129.6</v>
      </c>
      <c r="G71" s="68"/>
      <c r="H71" s="85"/>
      <c r="I71" s="85"/>
      <c r="J71" s="85"/>
    </row>
    <row r="72" spans="1:10">
      <c r="A72" s="63"/>
      <c r="B72" s="84"/>
      <c r="C72" s="64"/>
      <c r="D72" s="65"/>
      <c r="E72" s="66"/>
      <c r="F72" s="67"/>
      <c r="G72" s="68"/>
      <c r="H72" s="85"/>
      <c r="I72" s="85"/>
      <c r="J72" s="85"/>
    </row>
    <row r="73" spans="1:10" ht="25.5">
      <c r="A73" s="63"/>
      <c r="B73" s="84"/>
      <c r="C73" s="84"/>
      <c r="D73" s="80" t="s">
        <v>45</v>
      </c>
      <c r="E73" s="81" t="s">
        <v>46</v>
      </c>
      <c r="F73" s="82"/>
      <c r="G73" s="83" t="s">
        <v>2</v>
      </c>
      <c r="H73" s="86">
        <v>148.5</v>
      </c>
      <c r="I73" s="86"/>
      <c r="J73" s="86"/>
    </row>
    <row r="74" spans="1:10">
      <c r="A74" s="63"/>
      <c r="B74" s="28"/>
      <c r="C74" s="41"/>
      <c r="D74" s="42"/>
      <c r="E74" s="37" t="s">
        <v>123</v>
      </c>
      <c r="F74" s="33"/>
      <c r="G74" s="28"/>
      <c r="H74" s="39"/>
      <c r="I74" s="39"/>
      <c r="J74" s="39"/>
    </row>
    <row r="75" spans="1:10">
      <c r="A75" s="63"/>
      <c r="B75" s="28"/>
      <c r="C75" s="41"/>
      <c r="D75" s="42"/>
      <c r="E75" s="22" t="s">
        <v>124</v>
      </c>
      <c r="F75" s="33">
        <v>93.55</v>
      </c>
      <c r="G75" s="28"/>
      <c r="H75" s="39"/>
      <c r="I75" s="39"/>
      <c r="J75" s="39"/>
    </row>
    <row r="76" spans="1:10">
      <c r="A76" s="63"/>
      <c r="B76" s="28"/>
      <c r="C76" s="41"/>
      <c r="D76" s="42"/>
      <c r="E76" s="22" t="s">
        <v>125</v>
      </c>
      <c r="F76" s="34">
        <v>54.95</v>
      </c>
      <c r="G76" s="28"/>
      <c r="H76" s="39"/>
      <c r="I76" s="39"/>
      <c r="J76" s="39"/>
    </row>
    <row r="77" spans="1:10">
      <c r="A77" s="63"/>
      <c r="B77" s="28"/>
      <c r="C77" s="41"/>
      <c r="D77" s="42"/>
      <c r="E77" s="22"/>
      <c r="F77" s="35">
        <f>SUM(F75:F76)</f>
        <v>148.5</v>
      </c>
      <c r="G77" s="28"/>
      <c r="H77" s="39"/>
      <c r="I77" s="39"/>
      <c r="J77" s="39"/>
    </row>
    <row r="78" spans="1:10">
      <c r="A78" s="63"/>
      <c r="B78" s="28"/>
      <c r="C78" s="41"/>
      <c r="D78" s="42"/>
      <c r="E78" s="22"/>
      <c r="F78" s="35"/>
      <c r="G78" s="28"/>
      <c r="H78" s="39"/>
      <c r="I78" s="39"/>
      <c r="J78" s="39"/>
    </row>
    <row r="79" spans="1:10" ht="25.5">
      <c r="A79" s="63">
        <f>MAX(A$1:A78)+1</f>
        <v>9</v>
      </c>
      <c r="B79" s="87"/>
      <c r="C79" s="64" t="s">
        <v>47</v>
      </c>
      <c r="D79" s="65"/>
      <c r="E79" s="66" t="s">
        <v>48</v>
      </c>
      <c r="F79" s="67"/>
      <c r="G79" s="68" t="s">
        <v>7</v>
      </c>
      <c r="H79" s="21">
        <f>H80</f>
        <v>14.43</v>
      </c>
      <c r="I79" s="306"/>
      <c r="J79" s="21">
        <f t="shared" ref="J79:J133" si="1">I79*H79</f>
        <v>0</v>
      </c>
    </row>
    <row r="80" spans="1:10" ht="25.5">
      <c r="A80" s="88"/>
      <c r="B80" s="87"/>
      <c r="C80" s="89"/>
      <c r="D80" s="80" t="s">
        <v>49</v>
      </c>
      <c r="E80" s="81" t="s">
        <v>50</v>
      </c>
      <c r="F80" s="82"/>
      <c r="G80" s="83" t="s">
        <v>7</v>
      </c>
      <c r="H80" s="40">
        <v>14.43</v>
      </c>
      <c r="I80" s="40"/>
      <c r="J80" s="40"/>
    </row>
    <row r="81" spans="1:10">
      <c r="A81" s="88"/>
      <c r="B81" s="87"/>
      <c r="C81" s="89"/>
      <c r="D81" s="90"/>
      <c r="E81" s="37" t="s">
        <v>129</v>
      </c>
      <c r="F81" s="91"/>
      <c r="G81" s="29"/>
      <c r="H81" s="92"/>
      <c r="I81" s="92"/>
      <c r="J81" s="92"/>
    </row>
    <row r="82" spans="1:10">
      <c r="A82" s="88"/>
      <c r="B82" s="87"/>
      <c r="C82" s="89"/>
      <c r="D82" s="90"/>
      <c r="E82" s="22" t="s">
        <v>124</v>
      </c>
      <c r="F82" s="33">
        <v>5.17</v>
      </c>
      <c r="G82" s="29"/>
      <c r="H82" s="92"/>
      <c r="I82" s="92"/>
      <c r="J82" s="92"/>
    </row>
    <row r="83" spans="1:10">
      <c r="A83" s="63"/>
      <c r="B83" s="84"/>
      <c r="C83" s="93"/>
      <c r="D83" s="93"/>
      <c r="E83" s="22" t="s">
        <v>125</v>
      </c>
      <c r="F83" s="34">
        <v>9.26</v>
      </c>
      <c r="G83" s="28"/>
      <c r="H83" s="94"/>
      <c r="I83" s="94"/>
      <c r="J83" s="94"/>
    </row>
    <row r="84" spans="1:10" ht="15.75">
      <c r="A84" s="43"/>
      <c r="B84" s="54"/>
      <c r="C84" s="95"/>
      <c r="D84" s="95"/>
      <c r="E84" s="22"/>
      <c r="F84" s="35">
        <f>SUM(F82:F83)</f>
        <v>14.43</v>
      </c>
      <c r="G84" s="96"/>
      <c r="H84" s="97"/>
      <c r="I84" s="97"/>
      <c r="J84" s="97"/>
    </row>
    <row r="85" spans="1:10" ht="15.75">
      <c r="A85" s="43"/>
      <c r="B85" s="98"/>
      <c r="C85" s="95"/>
      <c r="D85" s="95"/>
      <c r="E85" s="66"/>
      <c r="F85" s="99"/>
      <c r="G85" s="96"/>
      <c r="H85" s="97"/>
      <c r="I85" s="97"/>
      <c r="J85" s="97"/>
    </row>
    <row r="86" spans="1:10" ht="25.5">
      <c r="A86" s="63">
        <f>MAX(A$1:A85)+1</f>
        <v>10</v>
      </c>
      <c r="B86" s="100"/>
      <c r="C86" s="64" t="s">
        <v>51</v>
      </c>
      <c r="D86" s="65"/>
      <c r="E86" s="66" t="s">
        <v>52</v>
      </c>
      <c r="F86" s="67"/>
      <c r="G86" s="68" t="s">
        <v>7</v>
      </c>
      <c r="H86" s="21">
        <f>H87+H93</f>
        <v>28.39</v>
      </c>
      <c r="I86" s="306"/>
      <c r="J86" s="21">
        <f t="shared" si="1"/>
        <v>0</v>
      </c>
    </row>
    <row r="87" spans="1:10" ht="25.5">
      <c r="A87" s="43"/>
      <c r="B87" s="101"/>
      <c r="C87" s="102"/>
      <c r="D87" s="80" t="s">
        <v>53</v>
      </c>
      <c r="E87" s="81" t="s">
        <v>54</v>
      </c>
      <c r="F87" s="82"/>
      <c r="G87" s="83" t="s">
        <v>7</v>
      </c>
      <c r="H87" s="40">
        <v>14.2</v>
      </c>
      <c r="I87" s="40"/>
      <c r="J87" s="40"/>
    </row>
    <row r="88" spans="1:10" ht="25.5">
      <c r="A88" s="103"/>
      <c r="B88" s="104"/>
      <c r="C88" s="105"/>
      <c r="D88" s="106"/>
      <c r="E88" s="37" t="s">
        <v>130</v>
      </c>
      <c r="F88" s="33"/>
      <c r="G88" s="29"/>
      <c r="H88" s="92"/>
      <c r="I88" s="92"/>
      <c r="J88" s="92"/>
    </row>
    <row r="89" spans="1:10">
      <c r="A89" s="103"/>
      <c r="B89" s="104"/>
      <c r="C89" s="105"/>
      <c r="D89" s="106"/>
      <c r="E89" s="22" t="s">
        <v>124</v>
      </c>
      <c r="F89" s="33">
        <v>4.84</v>
      </c>
      <c r="G89" s="29"/>
      <c r="H89" s="92"/>
      <c r="I89" s="92"/>
      <c r="J89" s="92"/>
    </row>
    <row r="90" spans="1:10">
      <c r="A90" s="103"/>
      <c r="B90" s="104"/>
      <c r="C90" s="105"/>
      <c r="D90" s="106"/>
      <c r="E90" s="22" t="s">
        <v>125</v>
      </c>
      <c r="F90" s="34">
        <v>9.36</v>
      </c>
      <c r="G90" s="29"/>
      <c r="H90" s="92"/>
      <c r="I90" s="92"/>
      <c r="J90" s="92"/>
    </row>
    <row r="91" spans="1:10">
      <c r="A91" s="103"/>
      <c r="B91" s="104"/>
      <c r="C91" s="105"/>
      <c r="D91" s="106"/>
      <c r="E91" s="22"/>
      <c r="F91" s="35">
        <f>SUM(F89:F90)</f>
        <v>14.2</v>
      </c>
      <c r="G91" s="29"/>
      <c r="H91" s="92"/>
      <c r="I91" s="92"/>
      <c r="J91" s="92"/>
    </row>
    <row r="92" spans="1:10">
      <c r="A92" s="63"/>
      <c r="B92" s="104"/>
      <c r="C92" s="105"/>
      <c r="D92" s="106"/>
      <c r="E92" s="44"/>
      <c r="F92" s="45"/>
      <c r="G92" s="29"/>
      <c r="H92" s="92"/>
      <c r="I92" s="92"/>
      <c r="J92" s="92"/>
    </row>
    <row r="93" spans="1:10" ht="25.5">
      <c r="A93" s="63"/>
      <c r="B93" s="104"/>
      <c r="C93" s="105"/>
      <c r="D93" s="80" t="s">
        <v>55</v>
      </c>
      <c r="E93" s="81" t="s">
        <v>56</v>
      </c>
      <c r="F93" s="82"/>
      <c r="G93" s="83" t="s">
        <v>7</v>
      </c>
      <c r="H93" s="40">
        <v>14.19</v>
      </c>
      <c r="I93" s="40"/>
      <c r="J93" s="40"/>
    </row>
    <row r="94" spans="1:10" ht="25.5">
      <c r="A94" s="63"/>
      <c r="B94" s="104"/>
      <c r="C94" s="105"/>
      <c r="D94" s="106"/>
      <c r="E94" s="37" t="s">
        <v>131</v>
      </c>
      <c r="F94" s="33"/>
      <c r="G94" s="29"/>
      <c r="H94" s="92"/>
      <c r="I94" s="92"/>
      <c r="J94" s="92"/>
    </row>
    <row r="95" spans="1:10">
      <c r="A95" s="63"/>
      <c r="B95" s="104"/>
      <c r="C95" s="105"/>
      <c r="D95" s="106"/>
      <c r="E95" s="22" t="s">
        <v>124</v>
      </c>
      <c r="F95" s="33">
        <v>4.96</v>
      </c>
      <c r="G95" s="29"/>
      <c r="H95" s="92"/>
      <c r="I95" s="92"/>
      <c r="J95" s="92"/>
    </row>
    <row r="96" spans="1:10">
      <c r="A96" s="63"/>
      <c r="B96" s="104"/>
      <c r="C96" s="105"/>
      <c r="D96" s="106"/>
      <c r="E96" s="22" t="s">
        <v>125</v>
      </c>
      <c r="F96" s="34">
        <v>9.23</v>
      </c>
      <c r="G96" s="29"/>
      <c r="H96" s="92"/>
      <c r="I96" s="92"/>
      <c r="J96" s="92"/>
    </row>
    <row r="97" spans="1:10">
      <c r="A97" s="63"/>
      <c r="B97" s="104"/>
      <c r="C97" s="105"/>
      <c r="D97" s="106"/>
      <c r="E97" s="22"/>
      <c r="F97" s="35">
        <f>SUM(F95:F96)</f>
        <v>14.19</v>
      </c>
      <c r="G97" s="29"/>
      <c r="H97" s="92"/>
      <c r="I97" s="92"/>
      <c r="J97" s="92"/>
    </row>
    <row r="98" spans="1:10">
      <c r="A98" s="63"/>
      <c r="B98" s="104"/>
      <c r="C98" s="105"/>
      <c r="D98" s="106"/>
      <c r="E98" s="44"/>
      <c r="F98" s="45"/>
      <c r="G98" s="29"/>
      <c r="H98" s="92"/>
      <c r="I98" s="92"/>
      <c r="J98" s="92"/>
    </row>
    <row r="99" spans="1:10">
      <c r="A99" s="63"/>
      <c r="B99" s="104"/>
      <c r="C99" s="105"/>
      <c r="D99" s="106"/>
      <c r="E99" s="44"/>
      <c r="F99" s="46"/>
      <c r="G99" s="29"/>
      <c r="H99" s="92"/>
      <c r="I99" s="92"/>
      <c r="J99" s="92"/>
    </row>
    <row r="100" spans="1:10">
      <c r="A100" s="103"/>
      <c r="B100" s="54" t="s">
        <v>57</v>
      </c>
      <c r="C100" s="107"/>
      <c r="D100" s="65"/>
      <c r="E100" s="108" t="s">
        <v>58</v>
      </c>
      <c r="F100" s="109"/>
      <c r="G100" s="83"/>
      <c r="H100" s="92"/>
      <c r="I100" s="92"/>
      <c r="J100" s="92"/>
    </row>
    <row r="101" spans="1:10">
      <c r="A101" s="103"/>
      <c r="B101" s="104"/>
      <c r="C101" s="105"/>
      <c r="D101" s="106"/>
      <c r="E101" s="44"/>
      <c r="F101" s="74"/>
      <c r="G101" s="29"/>
      <c r="H101" s="92"/>
      <c r="I101" s="92"/>
      <c r="J101" s="92"/>
    </row>
    <row r="102" spans="1:10">
      <c r="A102" s="63">
        <f>MAX(A$1:A101)+1</f>
        <v>11</v>
      </c>
      <c r="B102" s="104"/>
      <c r="C102" s="64" t="s">
        <v>59</v>
      </c>
      <c r="D102" s="65"/>
      <c r="E102" s="66" t="s">
        <v>60</v>
      </c>
      <c r="F102" s="67"/>
      <c r="G102" s="68" t="s">
        <v>2</v>
      </c>
      <c r="H102" s="21">
        <f>H103</f>
        <v>146.1</v>
      </c>
      <c r="I102" s="306"/>
      <c r="J102" s="21">
        <f t="shared" si="1"/>
        <v>0</v>
      </c>
    </row>
    <row r="103" spans="1:10">
      <c r="A103" s="103"/>
      <c r="B103" s="104"/>
      <c r="C103" s="102"/>
      <c r="D103" s="80" t="s">
        <v>61</v>
      </c>
      <c r="E103" s="81" t="s">
        <v>62</v>
      </c>
      <c r="F103" s="82"/>
      <c r="G103" s="83" t="s">
        <v>2</v>
      </c>
      <c r="H103" s="40">
        <v>146.1</v>
      </c>
      <c r="I103" s="40"/>
      <c r="J103" s="40"/>
    </row>
    <row r="104" spans="1:10">
      <c r="A104" s="103"/>
      <c r="B104" s="104"/>
      <c r="C104" s="105"/>
      <c r="D104" s="106"/>
      <c r="E104" s="37" t="s">
        <v>146</v>
      </c>
      <c r="F104" s="74"/>
      <c r="G104" s="29"/>
      <c r="H104" s="92"/>
      <c r="I104" s="92"/>
      <c r="J104" s="92"/>
    </row>
    <row r="105" spans="1:10">
      <c r="A105" s="103"/>
      <c r="B105" s="104"/>
      <c r="C105" s="105"/>
      <c r="D105" s="106"/>
      <c r="E105" s="22" t="s">
        <v>147</v>
      </c>
      <c r="F105" s="33">
        <f>56*2</f>
        <v>112</v>
      </c>
      <c r="G105" s="29"/>
      <c r="H105" s="92"/>
      <c r="I105" s="92"/>
      <c r="J105" s="92"/>
    </row>
    <row r="106" spans="1:10">
      <c r="A106" s="103"/>
      <c r="B106" s="104"/>
      <c r="C106" s="105"/>
      <c r="D106" s="106"/>
      <c r="E106" s="22" t="s">
        <v>148</v>
      </c>
      <c r="F106" s="34">
        <f>17.05*2</f>
        <v>34.1</v>
      </c>
      <c r="G106" s="29"/>
      <c r="H106" s="92"/>
      <c r="I106" s="92"/>
      <c r="J106" s="92"/>
    </row>
    <row r="107" spans="1:10">
      <c r="A107" s="103"/>
      <c r="B107" s="104"/>
      <c r="C107" s="105"/>
      <c r="D107" s="106"/>
      <c r="E107" s="22"/>
      <c r="F107" s="35">
        <f>SUM(F105:F106)</f>
        <v>146.1</v>
      </c>
      <c r="G107" s="29"/>
      <c r="H107" s="92"/>
      <c r="I107" s="92"/>
      <c r="J107" s="92"/>
    </row>
    <row r="108" spans="1:10">
      <c r="A108" s="103"/>
      <c r="B108" s="104"/>
      <c r="C108" s="105"/>
      <c r="D108" s="106"/>
      <c r="E108" s="44"/>
      <c r="F108" s="74"/>
      <c r="G108" s="29"/>
      <c r="H108" s="92"/>
      <c r="I108" s="92"/>
      <c r="J108" s="92"/>
    </row>
    <row r="109" spans="1:10">
      <c r="A109" s="63">
        <f>MAX(A$1:A108)+1</f>
        <v>12</v>
      </c>
      <c r="B109" s="104"/>
      <c r="C109" s="64" t="s">
        <v>175</v>
      </c>
      <c r="D109" s="65"/>
      <c r="E109" s="66" t="s">
        <v>176</v>
      </c>
      <c r="F109" s="67"/>
      <c r="G109" s="68" t="s">
        <v>8</v>
      </c>
      <c r="H109" s="21">
        <f>H110</f>
        <v>10.96</v>
      </c>
      <c r="I109" s="306"/>
      <c r="J109" s="21">
        <f t="shared" si="1"/>
        <v>0</v>
      </c>
    </row>
    <row r="110" spans="1:10" ht="25.5">
      <c r="A110" s="103"/>
      <c r="B110" s="104"/>
      <c r="C110" s="102"/>
      <c r="D110" s="80" t="s">
        <v>177</v>
      </c>
      <c r="E110" s="81" t="s">
        <v>178</v>
      </c>
      <c r="F110" s="82"/>
      <c r="G110" s="83" t="s">
        <v>8</v>
      </c>
      <c r="H110" s="40">
        <v>10.96</v>
      </c>
      <c r="I110" s="40"/>
      <c r="J110" s="40"/>
    </row>
    <row r="111" spans="1:10">
      <c r="A111" s="103"/>
      <c r="B111" s="104"/>
      <c r="C111" s="105"/>
      <c r="D111" s="106"/>
      <c r="E111" s="37" t="s">
        <v>184</v>
      </c>
      <c r="F111" s="74"/>
      <c r="G111" s="29"/>
      <c r="H111" s="92"/>
      <c r="I111" s="92"/>
      <c r="J111" s="92"/>
    </row>
    <row r="112" spans="1:10">
      <c r="A112" s="103"/>
      <c r="B112" s="104"/>
      <c r="C112" s="105"/>
      <c r="D112" s="106"/>
      <c r="E112" s="22" t="s">
        <v>185</v>
      </c>
      <c r="F112" s="33">
        <f>56*0.15</f>
        <v>8.4</v>
      </c>
      <c r="G112" s="29"/>
      <c r="H112" s="92"/>
      <c r="I112" s="92"/>
      <c r="J112" s="92"/>
    </row>
    <row r="113" spans="1:10">
      <c r="A113" s="103"/>
      <c r="B113" s="104"/>
      <c r="C113" s="105"/>
      <c r="D113" s="106"/>
      <c r="E113" s="22" t="s">
        <v>186</v>
      </c>
      <c r="F113" s="34">
        <f>17.05*0.15</f>
        <v>2.56</v>
      </c>
      <c r="G113" s="29"/>
      <c r="H113" s="92"/>
      <c r="I113" s="92"/>
      <c r="J113" s="92"/>
    </row>
    <row r="114" spans="1:10">
      <c r="A114" s="103"/>
      <c r="B114" s="104"/>
      <c r="C114" s="105"/>
      <c r="D114" s="106"/>
      <c r="E114" s="22"/>
      <c r="F114" s="35">
        <f>SUM(F112:F113)</f>
        <v>10.96</v>
      </c>
      <c r="G114" s="29"/>
      <c r="H114" s="92"/>
      <c r="I114" s="92"/>
      <c r="J114" s="92"/>
    </row>
    <row r="115" spans="1:10">
      <c r="A115" s="103"/>
      <c r="B115" s="104"/>
      <c r="C115" s="105"/>
      <c r="D115" s="106"/>
      <c r="E115" s="44"/>
      <c r="F115" s="74"/>
      <c r="G115" s="29"/>
      <c r="H115" s="92"/>
      <c r="I115" s="92"/>
      <c r="J115" s="92"/>
    </row>
    <row r="116" spans="1:10">
      <c r="A116" s="103"/>
      <c r="B116" s="104"/>
      <c r="C116" s="105"/>
      <c r="D116" s="106"/>
      <c r="E116" s="44"/>
      <c r="F116" s="74"/>
      <c r="G116" s="29"/>
      <c r="H116" s="92"/>
      <c r="I116" s="92"/>
      <c r="J116" s="92"/>
    </row>
    <row r="117" spans="1:10">
      <c r="A117" s="103"/>
      <c r="B117" s="54" t="s">
        <v>83</v>
      </c>
      <c r="C117" s="107"/>
      <c r="D117" s="65"/>
      <c r="E117" s="66" t="s">
        <v>84</v>
      </c>
      <c r="F117" s="110"/>
      <c r="G117" s="68"/>
      <c r="H117" s="92"/>
      <c r="I117" s="92"/>
      <c r="J117" s="92"/>
    </row>
    <row r="118" spans="1:10">
      <c r="A118" s="103"/>
      <c r="B118" s="104"/>
      <c r="C118" s="105"/>
      <c r="D118" s="106"/>
      <c r="E118" s="44"/>
      <c r="F118" s="74"/>
      <c r="G118" s="29"/>
      <c r="H118" s="92"/>
      <c r="I118" s="92"/>
      <c r="J118" s="92"/>
    </row>
    <row r="119" spans="1:10">
      <c r="A119" s="63">
        <f>MAX(A$1:A118)+1</f>
        <v>13</v>
      </c>
      <c r="B119" s="104"/>
      <c r="C119" s="64" t="s">
        <v>71</v>
      </c>
      <c r="D119" s="102"/>
      <c r="E119" s="66" t="s">
        <v>72</v>
      </c>
      <c r="F119" s="67"/>
      <c r="G119" s="68" t="s">
        <v>8</v>
      </c>
      <c r="H119" s="21">
        <f>H120</f>
        <v>54.07</v>
      </c>
      <c r="I119" s="306"/>
      <c r="J119" s="21">
        <f t="shared" si="1"/>
        <v>0</v>
      </c>
    </row>
    <row r="120" spans="1:10" ht="25.5">
      <c r="A120" s="103"/>
      <c r="B120" s="104"/>
      <c r="C120" s="105"/>
      <c r="D120" s="102" t="s">
        <v>73</v>
      </c>
      <c r="E120" s="81" t="s">
        <v>74</v>
      </c>
      <c r="F120" s="82"/>
      <c r="G120" s="83" t="s">
        <v>8</v>
      </c>
      <c r="H120" s="40">
        <v>54.07</v>
      </c>
      <c r="I120" s="40"/>
      <c r="J120" s="40"/>
    </row>
    <row r="121" spans="1:10">
      <c r="A121" s="103"/>
      <c r="B121" s="104"/>
      <c r="C121" s="105"/>
      <c r="D121" s="106"/>
      <c r="E121" s="37" t="s">
        <v>144</v>
      </c>
      <c r="F121" s="70"/>
      <c r="G121" s="29"/>
      <c r="H121" s="92"/>
      <c r="I121" s="92"/>
      <c r="J121" s="92"/>
    </row>
    <row r="122" spans="1:10">
      <c r="A122" s="103"/>
      <c r="B122" s="104"/>
      <c r="C122" s="105"/>
      <c r="D122" s="106"/>
      <c r="E122" s="22" t="s">
        <v>149</v>
      </c>
      <c r="F122" s="33">
        <f>4.85+38.93</f>
        <v>43.78</v>
      </c>
      <c r="G122" s="29"/>
      <c r="H122" s="92"/>
      <c r="I122" s="92"/>
      <c r="J122" s="92"/>
    </row>
    <row r="123" spans="1:10">
      <c r="A123" s="103"/>
      <c r="B123" s="104"/>
      <c r="C123" s="105"/>
      <c r="D123" s="106"/>
      <c r="E123" s="22" t="s">
        <v>150</v>
      </c>
      <c r="F123" s="34">
        <f>4.26+6.03</f>
        <v>10.29</v>
      </c>
      <c r="G123" s="29"/>
      <c r="H123" s="92"/>
      <c r="I123" s="92"/>
      <c r="J123" s="92"/>
    </row>
    <row r="124" spans="1:10">
      <c r="A124" s="103"/>
      <c r="B124" s="104"/>
      <c r="C124" s="105"/>
      <c r="D124" s="106"/>
      <c r="E124" s="22"/>
      <c r="F124" s="35">
        <f>SUM(F122:F123)</f>
        <v>54.07</v>
      </c>
      <c r="G124" s="29"/>
      <c r="H124" s="92"/>
      <c r="I124" s="92"/>
      <c r="J124" s="92"/>
    </row>
    <row r="125" spans="1:10">
      <c r="A125" s="103"/>
      <c r="B125" s="104"/>
      <c r="C125" s="105"/>
      <c r="D125" s="106"/>
      <c r="E125" s="44"/>
      <c r="F125" s="74"/>
      <c r="G125" s="29"/>
      <c r="H125" s="92"/>
      <c r="I125" s="92"/>
      <c r="J125" s="92"/>
    </row>
    <row r="126" spans="1:10">
      <c r="A126" s="63">
        <f>MAX(A$1:A125)+1</f>
        <v>14</v>
      </c>
      <c r="B126" s="104"/>
      <c r="C126" s="64" t="s">
        <v>165</v>
      </c>
      <c r="D126" s="65"/>
      <c r="E126" s="66" t="s">
        <v>166</v>
      </c>
      <c r="F126" s="67"/>
      <c r="G126" s="68" t="s">
        <v>8</v>
      </c>
      <c r="H126" s="21">
        <f>H127</f>
        <v>3.05</v>
      </c>
      <c r="I126" s="306"/>
      <c r="J126" s="21">
        <f t="shared" si="1"/>
        <v>0</v>
      </c>
    </row>
    <row r="127" spans="1:10" ht="25.5">
      <c r="A127" s="103"/>
      <c r="B127" s="104"/>
      <c r="C127" s="102"/>
      <c r="D127" s="80" t="s">
        <v>167</v>
      </c>
      <c r="E127" s="81" t="s">
        <v>168</v>
      </c>
      <c r="F127" s="82"/>
      <c r="G127" s="83" t="s">
        <v>8</v>
      </c>
      <c r="H127" s="40">
        <v>3.05</v>
      </c>
      <c r="I127" s="40"/>
      <c r="J127" s="40"/>
    </row>
    <row r="128" spans="1:10">
      <c r="A128" s="103"/>
      <c r="B128" s="104"/>
      <c r="C128" s="105"/>
      <c r="D128" s="106"/>
      <c r="E128" s="37" t="s">
        <v>190</v>
      </c>
      <c r="F128" s="74"/>
      <c r="G128" s="29"/>
      <c r="H128" s="92"/>
      <c r="I128" s="92"/>
      <c r="J128" s="92"/>
    </row>
    <row r="129" spans="1:10">
      <c r="A129" s="103"/>
      <c r="B129" s="104"/>
      <c r="C129" s="105"/>
      <c r="D129" s="106"/>
      <c r="E129" s="22" t="s">
        <v>134</v>
      </c>
      <c r="F129" s="33">
        <v>3.05</v>
      </c>
      <c r="G129" s="29"/>
      <c r="H129" s="92"/>
      <c r="I129" s="92"/>
      <c r="J129" s="92"/>
    </row>
    <row r="130" spans="1:10">
      <c r="A130" s="103"/>
      <c r="B130" s="104"/>
      <c r="C130" s="105"/>
      <c r="D130" s="106"/>
      <c r="E130" s="22" t="s">
        <v>135</v>
      </c>
      <c r="F130" s="34">
        <v>0</v>
      </c>
      <c r="G130" s="29"/>
      <c r="H130" s="92"/>
      <c r="I130" s="92"/>
      <c r="J130" s="92"/>
    </row>
    <row r="131" spans="1:10">
      <c r="A131" s="103"/>
      <c r="B131" s="104"/>
      <c r="C131" s="105"/>
      <c r="D131" s="106"/>
      <c r="E131" s="22"/>
      <c r="F131" s="35">
        <f>SUM(F129:F130)</f>
        <v>3.05</v>
      </c>
      <c r="G131" s="29"/>
      <c r="H131" s="92"/>
      <c r="I131" s="92"/>
      <c r="J131" s="92"/>
    </row>
    <row r="132" spans="1:10">
      <c r="A132" s="103"/>
      <c r="B132" s="104"/>
      <c r="C132" s="105"/>
      <c r="D132" s="106"/>
      <c r="E132" s="22"/>
      <c r="F132" s="35"/>
      <c r="G132" s="29"/>
      <c r="H132" s="92"/>
      <c r="I132" s="92"/>
      <c r="J132" s="92"/>
    </row>
    <row r="133" spans="1:10">
      <c r="A133" s="63">
        <f>MAX(A$1:A131)+1</f>
        <v>15</v>
      </c>
      <c r="B133" s="104"/>
      <c r="C133" s="64" t="s">
        <v>5</v>
      </c>
      <c r="D133" s="65"/>
      <c r="E133" s="66" t="s">
        <v>3</v>
      </c>
      <c r="F133" s="67"/>
      <c r="G133" s="68" t="s">
        <v>8</v>
      </c>
      <c r="H133" s="21">
        <f>H134</f>
        <v>44.96</v>
      </c>
      <c r="I133" s="306"/>
      <c r="J133" s="21">
        <f t="shared" si="1"/>
        <v>0</v>
      </c>
    </row>
    <row r="134" spans="1:10" ht="25.5">
      <c r="A134" s="103"/>
      <c r="B134" s="104"/>
      <c r="C134" s="105"/>
      <c r="D134" s="80" t="s">
        <v>6</v>
      </c>
      <c r="E134" s="81" t="s">
        <v>4</v>
      </c>
      <c r="F134" s="82"/>
      <c r="G134" s="83" t="s">
        <v>8</v>
      </c>
      <c r="H134" s="40">
        <v>44.96</v>
      </c>
      <c r="I134" s="40"/>
      <c r="J134" s="40"/>
    </row>
    <row r="135" spans="1:10" ht="25.5">
      <c r="A135" s="103"/>
      <c r="B135" s="104"/>
      <c r="C135" s="105"/>
      <c r="D135" s="106"/>
      <c r="E135" s="69" t="s">
        <v>215</v>
      </c>
      <c r="F135" s="70"/>
      <c r="G135" s="29"/>
      <c r="H135" s="92"/>
      <c r="I135" s="92"/>
      <c r="J135" s="92"/>
    </row>
    <row r="136" spans="1:10">
      <c r="A136" s="103"/>
      <c r="B136" s="104"/>
      <c r="C136" s="105"/>
      <c r="D136" s="106"/>
      <c r="E136" s="22" t="s">
        <v>134</v>
      </c>
      <c r="F136" s="33">
        <v>38.93</v>
      </c>
      <c r="G136" s="29"/>
      <c r="H136" s="92"/>
      <c r="I136" s="92"/>
      <c r="J136" s="92"/>
    </row>
    <row r="137" spans="1:10">
      <c r="A137" s="103"/>
      <c r="B137" s="104"/>
      <c r="C137" s="105"/>
      <c r="D137" s="106"/>
      <c r="E137" s="22" t="s">
        <v>135</v>
      </c>
      <c r="F137" s="34">
        <v>6.03</v>
      </c>
      <c r="G137" s="29"/>
      <c r="H137" s="92"/>
      <c r="I137" s="92"/>
      <c r="J137" s="92"/>
    </row>
    <row r="138" spans="1:10">
      <c r="A138" s="103"/>
      <c r="B138" s="104"/>
      <c r="C138" s="105"/>
      <c r="D138" s="106"/>
      <c r="E138" s="22"/>
      <c r="F138" s="35">
        <f>SUM(F136:F137)</f>
        <v>44.96</v>
      </c>
      <c r="G138" s="29"/>
      <c r="H138" s="92"/>
      <c r="I138" s="92"/>
      <c r="J138" s="92"/>
    </row>
    <row r="139" spans="1:10">
      <c r="A139" s="103"/>
      <c r="B139" s="104"/>
      <c r="C139" s="105"/>
      <c r="D139" s="106"/>
      <c r="E139" s="111"/>
      <c r="F139" s="70"/>
      <c r="G139" s="29"/>
      <c r="H139" s="92"/>
      <c r="I139" s="92"/>
      <c r="J139" s="92"/>
    </row>
    <row r="140" spans="1:10" ht="25.5">
      <c r="A140" s="63">
        <f>MAX(A$1:A139)+1</f>
        <v>16</v>
      </c>
      <c r="B140" s="104"/>
      <c r="C140" s="64" t="s">
        <v>63</v>
      </c>
      <c r="D140" s="65"/>
      <c r="E140" s="66" t="s">
        <v>64</v>
      </c>
      <c r="F140" s="67"/>
      <c r="G140" s="68" t="s">
        <v>2</v>
      </c>
      <c r="H140" s="21">
        <f>H141</f>
        <v>89.9</v>
      </c>
      <c r="I140" s="306"/>
      <c r="J140" s="21">
        <f t="shared" ref="J140:J198" si="2">I140*H140</f>
        <v>0</v>
      </c>
    </row>
    <row r="141" spans="1:10" ht="25.5">
      <c r="A141" s="103"/>
      <c r="B141" s="104"/>
      <c r="C141" s="102"/>
      <c r="D141" s="80" t="s">
        <v>65</v>
      </c>
      <c r="E141" s="81" t="s">
        <v>66</v>
      </c>
      <c r="F141" s="82"/>
      <c r="G141" s="83" t="s">
        <v>2</v>
      </c>
      <c r="H141" s="40">
        <v>89.9</v>
      </c>
      <c r="I141" s="40"/>
      <c r="J141" s="40"/>
    </row>
    <row r="142" spans="1:10">
      <c r="A142" s="103"/>
      <c r="B142" s="104"/>
      <c r="C142" s="105"/>
      <c r="D142" s="106"/>
      <c r="E142" s="37" t="s">
        <v>143</v>
      </c>
      <c r="F142" s="70"/>
      <c r="G142" s="29"/>
      <c r="H142" s="92"/>
      <c r="I142" s="92"/>
      <c r="J142" s="92"/>
    </row>
    <row r="143" spans="1:10">
      <c r="A143" s="103"/>
      <c r="B143" s="104"/>
      <c r="C143" s="105"/>
      <c r="D143" s="106"/>
      <c r="E143" s="22" t="s">
        <v>134</v>
      </c>
      <c r="F143" s="33">
        <v>77.849999999999994</v>
      </c>
      <c r="G143" s="29"/>
      <c r="H143" s="92"/>
      <c r="I143" s="92"/>
      <c r="J143" s="92"/>
    </row>
    <row r="144" spans="1:10">
      <c r="A144" s="103"/>
      <c r="B144" s="104"/>
      <c r="C144" s="105"/>
      <c r="D144" s="106"/>
      <c r="E144" s="22" t="s">
        <v>135</v>
      </c>
      <c r="F144" s="34">
        <v>12.05</v>
      </c>
      <c r="G144" s="29"/>
      <c r="H144" s="92"/>
      <c r="I144" s="92"/>
      <c r="J144" s="92"/>
    </row>
    <row r="145" spans="1:10">
      <c r="A145" s="103"/>
      <c r="B145" s="104"/>
      <c r="C145" s="105"/>
      <c r="D145" s="106"/>
      <c r="E145" s="22"/>
      <c r="F145" s="35">
        <f>SUM(F143:F144)</f>
        <v>89.9</v>
      </c>
      <c r="G145" s="29"/>
      <c r="H145" s="92"/>
      <c r="I145" s="92"/>
      <c r="J145" s="92"/>
    </row>
    <row r="146" spans="1:10">
      <c r="A146" s="103"/>
      <c r="B146" s="104"/>
      <c r="C146" s="105"/>
      <c r="D146" s="106"/>
      <c r="E146" s="111"/>
      <c r="F146" s="70"/>
      <c r="G146" s="29"/>
      <c r="H146" s="92"/>
      <c r="I146" s="92"/>
      <c r="J146" s="92"/>
    </row>
    <row r="147" spans="1:10">
      <c r="A147" s="63">
        <f>MAX(A$1:A146)+1</f>
        <v>17</v>
      </c>
      <c r="B147" s="104"/>
      <c r="C147" s="64" t="s">
        <v>67</v>
      </c>
      <c r="D147" s="65"/>
      <c r="E147" s="66" t="s">
        <v>68</v>
      </c>
      <c r="F147" s="67"/>
      <c r="G147" s="68" t="s">
        <v>2</v>
      </c>
      <c r="H147" s="21">
        <f>H148</f>
        <v>89.9</v>
      </c>
      <c r="I147" s="306"/>
      <c r="J147" s="21">
        <f t="shared" si="2"/>
        <v>0</v>
      </c>
    </row>
    <row r="148" spans="1:10">
      <c r="A148" s="103"/>
      <c r="B148" s="104"/>
      <c r="C148" s="102"/>
      <c r="D148" s="80" t="s">
        <v>69</v>
      </c>
      <c r="E148" s="81" t="s">
        <v>70</v>
      </c>
      <c r="F148" s="82"/>
      <c r="G148" s="83" t="s">
        <v>2</v>
      </c>
      <c r="H148" s="40">
        <v>89.9</v>
      </c>
      <c r="I148" s="40"/>
      <c r="J148" s="40"/>
    </row>
    <row r="149" spans="1:10">
      <c r="A149" s="103"/>
      <c r="B149" s="104"/>
      <c r="C149" s="105"/>
      <c r="D149" s="106"/>
      <c r="E149" s="37" t="s">
        <v>142</v>
      </c>
      <c r="F149" s="70"/>
      <c r="G149" s="29"/>
      <c r="H149" s="92"/>
      <c r="I149" s="92"/>
      <c r="J149" s="92"/>
    </row>
    <row r="150" spans="1:10">
      <c r="A150" s="103"/>
      <c r="B150" s="104"/>
      <c r="C150" s="105"/>
      <c r="D150" s="106"/>
      <c r="E150" s="22" t="s">
        <v>134</v>
      </c>
      <c r="F150" s="33">
        <v>77.849999999999994</v>
      </c>
      <c r="G150" s="29"/>
      <c r="H150" s="92"/>
      <c r="I150" s="92"/>
      <c r="J150" s="92"/>
    </row>
    <row r="151" spans="1:10">
      <c r="A151" s="103"/>
      <c r="B151" s="104"/>
      <c r="C151" s="105"/>
      <c r="D151" s="106"/>
      <c r="E151" s="22" t="s">
        <v>135</v>
      </c>
      <c r="F151" s="34">
        <v>12.05</v>
      </c>
      <c r="G151" s="29"/>
      <c r="H151" s="92"/>
      <c r="I151" s="92"/>
      <c r="J151" s="92"/>
    </row>
    <row r="152" spans="1:10">
      <c r="A152" s="103"/>
      <c r="B152" s="104"/>
      <c r="C152" s="105"/>
      <c r="D152" s="106"/>
      <c r="E152" s="22"/>
      <c r="F152" s="35">
        <f>SUM(F150:F151)</f>
        <v>89.9</v>
      </c>
      <c r="G152" s="29"/>
      <c r="H152" s="92"/>
      <c r="I152" s="92"/>
      <c r="J152" s="92"/>
    </row>
    <row r="153" spans="1:10">
      <c r="A153" s="103"/>
      <c r="B153" s="104"/>
      <c r="C153" s="105"/>
      <c r="D153" s="106"/>
      <c r="E153" s="111"/>
      <c r="F153" s="70"/>
      <c r="G153" s="29"/>
      <c r="H153" s="92"/>
      <c r="I153" s="92"/>
      <c r="J153" s="92"/>
    </row>
    <row r="154" spans="1:10">
      <c r="A154" s="63">
        <f>MAX(A$1:A153)+1</f>
        <v>18</v>
      </c>
      <c r="B154" s="104"/>
      <c r="C154" s="64" t="s">
        <v>151</v>
      </c>
      <c r="D154" s="65"/>
      <c r="E154" s="66" t="s">
        <v>152</v>
      </c>
      <c r="F154" s="67"/>
      <c r="G154" s="68" t="s">
        <v>2</v>
      </c>
      <c r="H154" s="21">
        <f>H155</f>
        <v>31.15</v>
      </c>
      <c r="I154" s="306"/>
      <c r="J154" s="21">
        <f t="shared" si="2"/>
        <v>0</v>
      </c>
    </row>
    <row r="155" spans="1:10" ht="25.5">
      <c r="A155" s="103"/>
      <c r="B155" s="104"/>
      <c r="C155" s="102"/>
      <c r="D155" s="80" t="s">
        <v>153</v>
      </c>
      <c r="E155" s="81" t="s">
        <v>154</v>
      </c>
      <c r="F155" s="82"/>
      <c r="G155" s="83" t="s">
        <v>2</v>
      </c>
      <c r="H155" s="40">
        <v>31.15</v>
      </c>
      <c r="I155" s="40"/>
      <c r="J155" s="40"/>
    </row>
    <row r="156" spans="1:10">
      <c r="A156" s="103"/>
      <c r="B156" s="104"/>
      <c r="C156" s="105"/>
      <c r="D156" s="106"/>
      <c r="E156" s="22" t="s">
        <v>134</v>
      </c>
      <c r="F156" s="33">
        <v>30.65</v>
      </c>
      <c r="G156" s="29"/>
      <c r="H156" s="92"/>
      <c r="I156" s="92"/>
      <c r="J156" s="92"/>
    </row>
    <row r="157" spans="1:10">
      <c r="A157" s="103"/>
      <c r="B157" s="104"/>
      <c r="C157" s="105"/>
      <c r="D157" s="106"/>
      <c r="E157" s="22" t="s">
        <v>135</v>
      </c>
      <c r="F157" s="34">
        <v>0.5</v>
      </c>
      <c r="G157" s="29"/>
      <c r="H157" s="92"/>
      <c r="I157" s="92"/>
      <c r="J157" s="92"/>
    </row>
    <row r="158" spans="1:10">
      <c r="A158" s="103"/>
      <c r="B158" s="104"/>
      <c r="C158" s="105"/>
      <c r="D158" s="106"/>
      <c r="E158" s="22"/>
      <c r="F158" s="35">
        <f>SUM(F156:F157)</f>
        <v>31.15</v>
      </c>
      <c r="G158" s="29"/>
      <c r="H158" s="92"/>
      <c r="I158" s="92"/>
      <c r="J158" s="92"/>
    </row>
    <row r="159" spans="1:10">
      <c r="A159" s="103"/>
      <c r="B159" s="104"/>
      <c r="C159" s="105"/>
      <c r="D159" s="106"/>
      <c r="E159" s="22"/>
      <c r="F159" s="35"/>
      <c r="G159" s="29"/>
      <c r="H159" s="92"/>
      <c r="I159" s="92"/>
      <c r="J159" s="92"/>
    </row>
    <row r="160" spans="1:10">
      <c r="A160" s="103"/>
      <c r="B160" s="104"/>
      <c r="C160" s="105"/>
      <c r="D160" s="106"/>
      <c r="E160" s="22"/>
      <c r="F160" s="35"/>
      <c r="G160" s="29"/>
      <c r="H160" s="92"/>
      <c r="I160" s="92"/>
      <c r="J160" s="92"/>
    </row>
    <row r="161" spans="1:10">
      <c r="A161" s="103"/>
      <c r="B161" s="54" t="s">
        <v>173</v>
      </c>
      <c r="C161" s="107"/>
      <c r="D161" s="65"/>
      <c r="E161" s="108" t="s">
        <v>174</v>
      </c>
      <c r="F161" s="109"/>
      <c r="G161" s="83"/>
      <c r="H161" s="92"/>
      <c r="I161" s="92"/>
      <c r="J161" s="92"/>
    </row>
    <row r="162" spans="1:10">
      <c r="A162" s="103"/>
      <c r="B162" s="104"/>
      <c r="C162" s="105"/>
      <c r="D162" s="106"/>
      <c r="E162" s="22"/>
      <c r="F162" s="35"/>
      <c r="G162" s="29"/>
      <c r="H162" s="92"/>
      <c r="I162" s="92"/>
      <c r="J162" s="92"/>
    </row>
    <row r="163" spans="1:10">
      <c r="A163" s="63">
        <f>MAX(A$1:A162)+1</f>
        <v>19</v>
      </c>
      <c r="B163" s="104"/>
      <c r="C163" s="64" t="s">
        <v>191</v>
      </c>
      <c r="D163" s="65"/>
      <c r="E163" s="66" t="s">
        <v>192</v>
      </c>
      <c r="F163" s="67"/>
      <c r="G163" s="68" t="s">
        <v>8</v>
      </c>
      <c r="H163" s="21">
        <f>H164</f>
        <v>6.1</v>
      </c>
      <c r="I163" s="306"/>
      <c r="J163" s="21">
        <f t="shared" si="2"/>
        <v>0</v>
      </c>
    </row>
    <row r="164" spans="1:10" ht="25.5">
      <c r="A164" s="103"/>
      <c r="B164" s="104"/>
      <c r="C164" s="102"/>
      <c r="D164" s="80" t="s">
        <v>193</v>
      </c>
      <c r="E164" s="81" t="s">
        <v>194</v>
      </c>
      <c r="F164" s="82"/>
      <c r="G164" s="83" t="s">
        <v>8</v>
      </c>
      <c r="H164" s="40">
        <v>6.1</v>
      </c>
      <c r="I164" s="40"/>
      <c r="J164" s="40"/>
    </row>
    <row r="165" spans="1:10">
      <c r="A165" s="103"/>
      <c r="B165" s="104"/>
      <c r="C165" s="105"/>
      <c r="D165" s="106"/>
      <c r="E165" s="37" t="s">
        <v>203</v>
      </c>
      <c r="F165" s="74"/>
      <c r="G165" s="29"/>
      <c r="H165" s="92"/>
      <c r="I165" s="92"/>
      <c r="J165" s="92"/>
    </row>
    <row r="166" spans="1:10">
      <c r="A166" s="103"/>
      <c r="B166" s="104"/>
      <c r="C166" s="105"/>
      <c r="D166" s="106"/>
      <c r="E166" s="22" t="s">
        <v>204</v>
      </c>
      <c r="F166" s="33">
        <f>3.05*2</f>
        <v>6.1</v>
      </c>
      <c r="G166" s="29"/>
      <c r="H166" s="92"/>
      <c r="I166" s="92"/>
      <c r="J166" s="92"/>
    </row>
    <row r="167" spans="1:10">
      <c r="A167" s="103"/>
      <c r="B167" s="104"/>
      <c r="C167" s="105"/>
      <c r="D167" s="106"/>
      <c r="E167" s="22" t="s">
        <v>135</v>
      </c>
      <c r="F167" s="34">
        <v>0</v>
      </c>
      <c r="G167" s="29"/>
      <c r="H167" s="92"/>
      <c r="I167" s="92"/>
      <c r="J167" s="92"/>
    </row>
    <row r="168" spans="1:10">
      <c r="A168" s="103"/>
      <c r="B168" s="104"/>
      <c r="C168" s="105"/>
      <c r="D168" s="106"/>
      <c r="E168" s="22"/>
      <c r="F168" s="35">
        <f>SUM(F166:F167)</f>
        <v>6.1</v>
      </c>
      <c r="G168" s="29"/>
      <c r="H168" s="92"/>
      <c r="I168" s="92"/>
      <c r="J168" s="92"/>
    </row>
    <row r="169" spans="1:10">
      <c r="A169" s="103"/>
      <c r="B169" s="104"/>
      <c r="C169" s="105"/>
      <c r="D169" s="106"/>
      <c r="E169" s="22"/>
      <c r="F169" s="35"/>
      <c r="G169" s="29"/>
      <c r="H169" s="92"/>
      <c r="I169" s="92"/>
      <c r="J169" s="92"/>
    </row>
    <row r="170" spans="1:10">
      <c r="A170" s="63">
        <f>MAX(A$1:A166)+1</f>
        <v>20</v>
      </c>
      <c r="B170" s="104"/>
      <c r="C170" s="64" t="s">
        <v>175</v>
      </c>
      <c r="D170" s="65"/>
      <c r="E170" s="66" t="s">
        <v>176</v>
      </c>
      <c r="F170" s="67"/>
      <c r="G170" s="68" t="s">
        <v>8</v>
      </c>
      <c r="H170" s="21">
        <f>H171</f>
        <v>56.07</v>
      </c>
      <c r="I170" s="306"/>
      <c r="J170" s="21">
        <f t="shared" si="2"/>
        <v>0</v>
      </c>
    </row>
    <row r="171" spans="1:10" ht="25.5">
      <c r="A171" s="103"/>
      <c r="B171" s="104"/>
      <c r="C171" s="102"/>
      <c r="D171" s="80" t="s">
        <v>177</v>
      </c>
      <c r="E171" s="81" t="s">
        <v>178</v>
      </c>
      <c r="F171" s="82"/>
      <c r="G171" s="83" t="s">
        <v>8</v>
      </c>
      <c r="H171" s="40">
        <v>56.07</v>
      </c>
      <c r="I171" s="40"/>
      <c r="J171" s="40"/>
    </row>
    <row r="172" spans="1:10">
      <c r="A172" s="103"/>
      <c r="B172" s="104"/>
      <c r="C172" s="105"/>
      <c r="D172" s="106"/>
      <c r="E172" s="69" t="s">
        <v>206</v>
      </c>
      <c r="F172" s="70"/>
      <c r="G172" s="29"/>
      <c r="H172" s="92"/>
      <c r="I172" s="92"/>
      <c r="J172" s="92"/>
    </row>
    <row r="173" spans="1:10">
      <c r="A173" s="103"/>
      <c r="B173" s="104"/>
      <c r="C173" s="105"/>
      <c r="D173" s="106"/>
      <c r="E173" s="71" t="s">
        <v>207</v>
      </c>
      <c r="F173" s="33">
        <f>43.78-3.05</f>
        <v>40.729999999999997</v>
      </c>
      <c r="G173" s="29"/>
      <c r="H173" s="92"/>
      <c r="I173" s="92"/>
      <c r="J173" s="92"/>
    </row>
    <row r="174" spans="1:10">
      <c r="A174" s="103"/>
      <c r="B174" s="104"/>
      <c r="C174" s="105"/>
      <c r="D174" s="106"/>
      <c r="E174" s="71" t="s">
        <v>135</v>
      </c>
      <c r="F174" s="34">
        <v>10.29</v>
      </c>
      <c r="G174" s="29"/>
      <c r="H174" s="92"/>
      <c r="I174" s="92"/>
      <c r="J174" s="92"/>
    </row>
    <row r="175" spans="1:10">
      <c r="A175" s="103"/>
      <c r="B175" s="104"/>
      <c r="C175" s="105"/>
      <c r="D175" s="106"/>
      <c r="E175" s="72"/>
      <c r="F175" s="73">
        <f>SUM(F173:F174)</f>
        <v>51.02</v>
      </c>
      <c r="G175" s="29"/>
      <c r="H175" s="92"/>
      <c r="I175" s="92"/>
      <c r="J175" s="92"/>
    </row>
    <row r="176" spans="1:10">
      <c r="A176" s="103"/>
      <c r="B176" s="104"/>
      <c r="C176" s="105"/>
      <c r="D176" s="106"/>
      <c r="E176" s="69" t="s">
        <v>210</v>
      </c>
      <c r="F176" s="73"/>
      <c r="G176" s="29"/>
      <c r="H176" s="92"/>
      <c r="I176" s="92"/>
      <c r="J176" s="92"/>
    </row>
    <row r="177" spans="1:10">
      <c r="A177" s="103"/>
      <c r="B177" s="104"/>
      <c r="C177" s="105"/>
      <c r="D177" s="106"/>
      <c r="E177" s="71" t="s">
        <v>124</v>
      </c>
      <c r="F177" s="33">
        <v>2.5</v>
      </c>
      <c r="G177" s="29"/>
      <c r="H177" s="92"/>
      <c r="I177" s="92"/>
      <c r="J177" s="92"/>
    </row>
    <row r="178" spans="1:10">
      <c r="A178" s="103"/>
      <c r="B178" s="104"/>
      <c r="C178" s="105"/>
      <c r="D178" s="106"/>
      <c r="E178" s="71" t="s">
        <v>135</v>
      </c>
      <c r="F178" s="34">
        <v>2.5499999999999998</v>
      </c>
      <c r="G178" s="29"/>
      <c r="H178" s="92"/>
      <c r="I178" s="92"/>
      <c r="J178" s="92"/>
    </row>
    <row r="179" spans="1:10">
      <c r="A179" s="103"/>
      <c r="B179" s="104"/>
      <c r="C179" s="105"/>
      <c r="D179" s="106"/>
      <c r="E179" s="71"/>
      <c r="F179" s="35">
        <f>SUM(F177:F178)</f>
        <v>5.05</v>
      </c>
      <c r="G179" s="29"/>
      <c r="H179" s="92"/>
      <c r="I179" s="92"/>
      <c r="J179" s="92"/>
    </row>
    <row r="180" spans="1:10">
      <c r="A180" s="103"/>
      <c r="B180" s="104"/>
      <c r="C180" s="105"/>
      <c r="D180" s="106"/>
      <c r="E180" s="112" t="s">
        <v>211</v>
      </c>
      <c r="F180" s="73">
        <f>SUM(F179,F175)</f>
        <v>56.07</v>
      </c>
      <c r="G180" s="29"/>
      <c r="H180" s="92"/>
      <c r="I180" s="92"/>
      <c r="J180" s="92"/>
    </row>
    <row r="181" spans="1:10">
      <c r="A181" s="103"/>
      <c r="B181" s="104"/>
      <c r="C181" s="105"/>
      <c r="D181" s="106"/>
      <c r="E181" s="22"/>
      <c r="F181" s="35"/>
      <c r="G181" s="29"/>
      <c r="H181" s="92"/>
      <c r="I181" s="92"/>
      <c r="J181" s="92"/>
    </row>
    <row r="182" spans="1:10">
      <c r="A182" s="63">
        <f>MAX(A$1:A173)+1</f>
        <v>21</v>
      </c>
      <c r="B182" s="104"/>
      <c r="C182" s="64" t="s">
        <v>195</v>
      </c>
      <c r="D182" s="65"/>
      <c r="E182" s="66" t="s">
        <v>196</v>
      </c>
      <c r="F182" s="67"/>
      <c r="G182" s="68" t="s">
        <v>8</v>
      </c>
      <c r="H182" s="21">
        <f>H183</f>
        <v>3.05</v>
      </c>
      <c r="I182" s="306"/>
      <c r="J182" s="21">
        <f t="shared" si="2"/>
        <v>0</v>
      </c>
    </row>
    <row r="183" spans="1:10" ht="25.5">
      <c r="A183" s="103"/>
      <c r="B183" s="104"/>
      <c r="C183" s="102"/>
      <c r="D183" s="80" t="s">
        <v>197</v>
      </c>
      <c r="E183" s="81" t="s">
        <v>198</v>
      </c>
      <c r="F183" s="82"/>
      <c r="G183" s="83" t="s">
        <v>8</v>
      </c>
      <c r="H183" s="40">
        <v>3.05</v>
      </c>
      <c r="I183" s="40"/>
      <c r="J183" s="40"/>
    </row>
    <row r="184" spans="1:10">
      <c r="A184" s="103"/>
      <c r="B184" s="104"/>
      <c r="C184" s="105"/>
      <c r="D184" s="106"/>
      <c r="E184" s="37" t="s">
        <v>205</v>
      </c>
      <c r="F184" s="74"/>
      <c r="G184" s="29"/>
      <c r="H184" s="92"/>
      <c r="I184" s="92"/>
      <c r="J184" s="92"/>
    </row>
    <row r="185" spans="1:10">
      <c r="A185" s="103"/>
      <c r="B185" s="104"/>
      <c r="C185" s="105"/>
      <c r="D185" s="106"/>
      <c r="E185" s="22" t="s">
        <v>204</v>
      </c>
      <c r="F185" s="33">
        <f>3.05</f>
        <v>3.05</v>
      </c>
      <c r="G185" s="29"/>
      <c r="H185" s="92"/>
      <c r="I185" s="92"/>
      <c r="J185" s="92"/>
    </row>
    <row r="186" spans="1:10">
      <c r="A186" s="103"/>
      <c r="B186" s="104"/>
      <c r="C186" s="105"/>
      <c r="D186" s="106"/>
      <c r="E186" s="22" t="s">
        <v>135</v>
      </c>
      <c r="F186" s="34">
        <v>0</v>
      </c>
      <c r="G186" s="29"/>
      <c r="H186" s="92"/>
      <c r="I186" s="92"/>
      <c r="J186" s="92"/>
    </row>
    <row r="187" spans="1:10" ht="13.5" customHeight="1">
      <c r="A187" s="103"/>
      <c r="B187" s="104"/>
      <c r="C187" s="105"/>
      <c r="D187" s="106"/>
      <c r="E187" s="22"/>
      <c r="F187" s="35">
        <f>SUM(F185:F186)</f>
        <v>3.05</v>
      </c>
      <c r="G187" s="29"/>
      <c r="H187" s="92"/>
      <c r="I187" s="92"/>
      <c r="J187" s="92"/>
    </row>
    <row r="188" spans="1:10" ht="13.5" customHeight="1">
      <c r="A188" s="103"/>
      <c r="B188" s="104"/>
      <c r="C188" s="105"/>
      <c r="D188" s="106"/>
      <c r="E188" s="22"/>
      <c r="F188" s="35"/>
      <c r="G188" s="29"/>
      <c r="H188" s="92"/>
      <c r="I188" s="92"/>
      <c r="J188" s="92"/>
    </row>
    <row r="189" spans="1:10">
      <c r="A189" s="103"/>
      <c r="B189" s="104"/>
      <c r="C189" s="105"/>
      <c r="D189" s="106"/>
      <c r="E189" s="22"/>
      <c r="F189" s="35"/>
      <c r="G189" s="29"/>
      <c r="H189" s="92"/>
      <c r="I189" s="92"/>
      <c r="J189" s="92"/>
    </row>
    <row r="190" spans="1:10">
      <c r="A190" s="103"/>
      <c r="B190" s="54" t="s">
        <v>85</v>
      </c>
      <c r="C190" s="107"/>
      <c r="D190" s="65"/>
      <c r="E190" s="108" t="s">
        <v>86</v>
      </c>
      <c r="F190" s="109"/>
      <c r="G190" s="83"/>
      <c r="H190" s="92"/>
      <c r="I190" s="92"/>
      <c r="J190" s="92"/>
    </row>
    <row r="191" spans="1:10">
      <c r="A191" s="103"/>
      <c r="B191" s="104"/>
      <c r="C191" s="105"/>
      <c r="D191" s="106"/>
      <c r="E191" s="44"/>
      <c r="F191" s="74"/>
      <c r="G191" s="29"/>
      <c r="H191" s="92"/>
      <c r="I191" s="92"/>
      <c r="J191" s="92"/>
    </row>
    <row r="192" spans="1:10" ht="25.5">
      <c r="A192" s="63">
        <f>MAX(A$1:A191)+1</f>
        <v>22</v>
      </c>
      <c r="B192" s="104"/>
      <c r="C192" s="64" t="s">
        <v>75</v>
      </c>
      <c r="D192" s="65"/>
      <c r="E192" s="66" t="s">
        <v>76</v>
      </c>
      <c r="F192" s="67"/>
      <c r="G192" s="68" t="s">
        <v>2</v>
      </c>
      <c r="H192" s="21">
        <f>H193</f>
        <v>31.15</v>
      </c>
      <c r="I192" s="306"/>
      <c r="J192" s="21">
        <f t="shared" si="2"/>
        <v>0</v>
      </c>
    </row>
    <row r="193" spans="1:10" ht="25.5">
      <c r="A193" s="103"/>
      <c r="B193" s="104"/>
      <c r="C193" s="105"/>
      <c r="D193" s="80" t="s">
        <v>77</v>
      </c>
      <c r="E193" s="81" t="s">
        <v>78</v>
      </c>
      <c r="F193" s="82"/>
      <c r="G193" s="83" t="s">
        <v>2</v>
      </c>
      <c r="H193" s="40">
        <v>31.15</v>
      </c>
      <c r="I193" s="40"/>
      <c r="J193" s="40"/>
    </row>
    <row r="194" spans="1:10">
      <c r="A194" s="103"/>
      <c r="B194" s="104"/>
      <c r="C194" s="105"/>
      <c r="D194" s="106"/>
      <c r="E194" s="22" t="s">
        <v>134</v>
      </c>
      <c r="F194" s="33">
        <v>30.65</v>
      </c>
      <c r="G194" s="29"/>
      <c r="H194" s="92"/>
      <c r="I194" s="92"/>
      <c r="J194" s="92"/>
    </row>
    <row r="195" spans="1:10">
      <c r="A195" s="103"/>
      <c r="B195" s="104"/>
      <c r="C195" s="105"/>
      <c r="D195" s="106"/>
      <c r="E195" s="22" t="s">
        <v>135</v>
      </c>
      <c r="F195" s="34">
        <v>0.5</v>
      </c>
      <c r="G195" s="29"/>
      <c r="H195" s="92"/>
      <c r="I195" s="92"/>
      <c r="J195" s="92"/>
    </row>
    <row r="196" spans="1:10">
      <c r="A196" s="103"/>
      <c r="B196" s="104"/>
      <c r="C196" s="105"/>
      <c r="D196" s="106"/>
      <c r="E196" s="22"/>
      <c r="F196" s="35">
        <f>SUM(F194:F195)</f>
        <v>31.15</v>
      </c>
      <c r="G196" s="29"/>
      <c r="H196" s="92"/>
      <c r="I196" s="92"/>
      <c r="J196" s="92"/>
    </row>
    <row r="197" spans="1:10">
      <c r="A197" s="103"/>
      <c r="B197" s="104"/>
      <c r="C197" s="105"/>
      <c r="D197" s="106"/>
      <c r="E197" s="22"/>
      <c r="F197" s="35"/>
      <c r="G197" s="29"/>
      <c r="H197" s="92"/>
      <c r="I197" s="92"/>
      <c r="J197" s="92"/>
    </row>
    <row r="198" spans="1:10" ht="25.5">
      <c r="A198" s="63">
        <f>MAX(A$1:A196)+1</f>
        <v>23</v>
      </c>
      <c r="B198" s="104"/>
      <c r="C198" s="64" t="s">
        <v>79</v>
      </c>
      <c r="D198" s="65"/>
      <c r="E198" s="66" t="s">
        <v>80</v>
      </c>
      <c r="F198" s="67"/>
      <c r="G198" s="68" t="s">
        <v>2</v>
      </c>
      <c r="H198" s="21">
        <f>H199</f>
        <v>31.15</v>
      </c>
      <c r="I198" s="306"/>
      <c r="J198" s="21">
        <f t="shared" si="2"/>
        <v>0</v>
      </c>
    </row>
    <row r="199" spans="1:10" ht="25.5">
      <c r="A199" s="103"/>
      <c r="B199" s="104"/>
      <c r="C199" s="102"/>
      <c r="D199" s="80" t="s">
        <v>81</v>
      </c>
      <c r="E199" s="81" t="s">
        <v>82</v>
      </c>
      <c r="F199" s="82"/>
      <c r="G199" s="83" t="s">
        <v>2</v>
      </c>
      <c r="H199" s="40">
        <v>31.15</v>
      </c>
      <c r="I199" s="40"/>
      <c r="J199" s="40"/>
    </row>
    <row r="200" spans="1:10">
      <c r="A200" s="103"/>
      <c r="B200" s="104"/>
      <c r="C200" s="105"/>
      <c r="D200" s="106"/>
      <c r="E200" s="22" t="s">
        <v>134</v>
      </c>
      <c r="F200" s="33">
        <v>30.65</v>
      </c>
      <c r="G200" s="29"/>
      <c r="H200" s="92"/>
      <c r="I200" s="92"/>
      <c r="J200" s="92"/>
    </row>
    <row r="201" spans="1:10">
      <c r="A201" s="103"/>
      <c r="B201" s="104"/>
      <c r="C201" s="105"/>
      <c r="D201" s="106"/>
      <c r="E201" s="22" t="s">
        <v>135</v>
      </c>
      <c r="F201" s="34">
        <v>0.5</v>
      </c>
      <c r="G201" s="29"/>
      <c r="H201" s="92"/>
      <c r="I201" s="92"/>
      <c r="J201" s="92"/>
    </row>
    <row r="202" spans="1:10">
      <c r="A202" s="103"/>
      <c r="B202" s="104"/>
      <c r="C202" s="105"/>
      <c r="D202" s="106"/>
      <c r="E202" s="22"/>
      <c r="F202" s="35">
        <f>SUM(F200:F201)</f>
        <v>31.15</v>
      </c>
      <c r="G202" s="29"/>
      <c r="H202" s="92"/>
      <c r="I202" s="92"/>
      <c r="J202" s="92"/>
    </row>
    <row r="203" spans="1:10">
      <c r="A203" s="103"/>
      <c r="B203" s="104"/>
      <c r="C203" s="105"/>
      <c r="D203" s="106"/>
      <c r="E203" s="22"/>
      <c r="F203" s="35"/>
      <c r="G203" s="29"/>
      <c r="H203" s="92"/>
      <c r="I203" s="92"/>
      <c r="J203" s="92"/>
    </row>
    <row r="204" spans="1:10">
      <c r="A204" s="103"/>
      <c r="B204" s="104"/>
      <c r="C204" s="105"/>
      <c r="D204" s="106"/>
      <c r="E204" s="22"/>
      <c r="F204" s="35"/>
      <c r="G204" s="29"/>
      <c r="H204" s="92"/>
      <c r="I204" s="92"/>
      <c r="J204" s="92"/>
    </row>
    <row r="205" spans="1:10" ht="25.5">
      <c r="A205" s="103"/>
      <c r="B205" s="54" t="s">
        <v>113</v>
      </c>
      <c r="C205" s="54"/>
      <c r="D205" s="65"/>
      <c r="E205" s="66" t="s">
        <v>114</v>
      </c>
      <c r="F205" s="110"/>
      <c r="G205" s="83"/>
      <c r="H205" s="92"/>
      <c r="I205" s="92"/>
      <c r="J205" s="92"/>
    </row>
    <row r="206" spans="1:10">
      <c r="A206" s="103"/>
      <c r="B206" s="104"/>
      <c r="C206" s="105"/>
      <c r="D206" s="106"/>
      <c r="E206" s="111"/>
      <c r="F206" s="70"/>
      <c r="G206" s="29"/>
      <c r="H206" s="92"/>
      <c r="I206" s="92"/>
      <c r="J206" s="92"/>
    </row>
    <row r="207" spans="1:10" ht="25.5">
      <c r="A207" s="63">
        <f>MAX(A$1:A206)+1</f>
        <v>24</v>
      </c>
      <c r="B207" s="104"/>
      <c r="C207" s="64" t="s">
        <v>101</v>
      </c>
      <c r="D207" s="65"/>
      <c r="E207" s="66" t="s">
        <v>102</v>
      </c>
      <c r="F207" s="67"/>
      <c r="G207" s="68" t="s">
        <v>2</v>
      </c>
      <c r="H207" s="21">
        <f>H208</f>
        <v>168.37</v>
      </c>
      <c r="I207" s="306"/>
      <c r="J207" s="21">
        <f t="shared" ref="J207:J262" si="3">I207*H207</f>
        <v>0</v>
      </c>
    </row>
    <row r="208" spans="1:10" ht="25.5">
      <c r="A208" s="103"/>
      <c r="B208" s="104"/>
      <c r="C208" s="105"/>
      <c r="D208" s="80" t="s">
        <v>103</v>
      </c>
      <c r="E208" s="81" t="s">
        <v>104</v>
      </c>
      <c r="F208" s="82"/>
      <c r="G208" s="83" t="s">
        <v>2</v>
      </c>
      <c r="H208" s="40">
        <v>168.37</v>
      </c>
      <c r="I208" s="40"/>
      <c r="J208" s="40"/>
    </row>
    <row r="209" spans="1:10">
      <c r="A209" s="103"/>
      <c r="B209" s="104"/>
      <c r="C209" s="105"/>
      <c r="D209" s="106"/>
      <c r="E209" s="37" t="s">
        <v>133</v>
      </c>
      <c r="F209" s="70"/>
      <c r="G209" s="29"/>
      <c r="H209" s="92"/>
      <c r="I209" s="92"/>
      <c r="J209" s="92"/>
    </row>
    <row r="210" spans="1:10">
      <c r="A210" s="103"/>
      <c r="B210" s="104"/>
      <c r="C210" s="105"/>
      <c r="D210" s="106"/>
      <c r="E210" s="22" t="s">
        <v>134</v>
      </c>
      <c r="F210" s="33">
        <v>108.49</v>
      </c>
      <c r="G210" s="29"/>
      <c r="H210" s="92"/>
      <c r="I210" s="92"/>
      <c r="J210" s="92"/>
    </row>
    <row r="211" spans="1:10">
      <c r="A211" s="103"/>
      <c r="B211" s="104"/>
      <c r="C211" s="105"/>
      <c r="D211" s="106"/>
      <c r="E211" s="22" t="s">
        <v>135</v>
      </c>
      <c r="F211" s="34">
        <v>59.88</v>
      </c>
      <c r="G211" s="29"/>
      <c r="H211" s="92"/>
      <c r="I211" s="92"/>
      <c r="J211" s="92"/>
    </row>
    <row r="212" spans="1:10">
      <c r="A212" s="103"/>
      <c r="B212" s="104"/>
      <c r="C212" s="105"/>
      <c r="D212" s="106"/>
      <c r="E212" s="22"/>
      <c r="F212" s="35">
        <f>SUM(F210:F211)</f>
        <v>168.37</v>
      </c>
      <c r="G212" s="29"/>
      <c r="H212" s="92"/>
      <c r="I212" s="92"/>
      <c r="J212" s="92"/>
    </row>
    <row r="213" spans="1:10">
      <c r="A213" s="103"/>
      <c r="B213" s="104"/>
      <c r="C213" s="105"/>
      <c r="D213" s="106"/>
      <c r="E213" s="111"/>
      <c r="F213" s="70"/>
      <c r="G213" s="29"/>
      <c r="H213" s="92"/>
      <c r="I213" s="92"/>
      <c r="J213" s="92"/>
    </row>
    <row r="214" spans="1:10" ht="25.5">
      <c r="A214" s="63">
        <f>MAX(A$1:A213)+1</f>
        <v>25</v>
      </c>
      <c r="B214" s="104"/>
      <c r="C214" s="64" t="s">
        <v>105</v>
      </c>
      <c r="D214" s="65"/>
      <c r="E214" s="66" t="s">
        <v>106</v>
      </c>
      <c r="F214" s="67"/>
      <c r="G214" s="68" t="s">
        <v>8</v>
      </c>
      <c r="H214" s="21">
        <f>H215</f>
        <v>8.3699999999999992</v>
      </c>
      <c r="I214" s="306"/>
      <c r="J214" s="21">
        <f t="shared" si="3"/>
        <v>0</v>
      </c>
    </row>
    <row r="215" spans="1:10" ht="25.5">
      <c r="A215" s="103"/>
      <c r="B215" s="104"/>
      <c r="C215" s="105"/>
      <c r="D215" s="80" t="s">
        <v>107</v>
      </c>
      <c r="E215" s="81" t="s">
        <v>108</v>
      </c>
      <c r="F215" s="82"/>
      <c r="G215" s="83" t="s">
        <v>8</v>
      </c>
      <c r="H215" s="40">
        <v>8.3699999999999992</v>
      </c>
      <c r="I215" s="40"/>
      <c r="J215" s="40"/>
    </row>
    <row r="216" spans="1:10" ht="15.75">
      <c r="A216" s="103"/>
      <c r="B216" s="104"/>
      <c r="C216" s="105"/>
      <c r="D216" s="106"/>
      <c r="E216" s="37" t="s">
        <v>132</v>
      </c>
      <c r="F216" s="70"/>
      <c r="G216" s="29"/>
      <c r="H216" s="92"/>
      <c r="I216" s="92"/>
      <c r="J216" s="92"/>
    </row>
    <row r="217" spans="1:10">
      <c r="A217" s="103"/>
      <c r="B217" s="104"/>
      <c r="C217" s="105"/>
      <c r="D217" s="106"/>
      <c r="E217" s="22" t="s">
        <v>155</v>
      </c>
      <c r="F217" s="33">
        <f>107.8*0.05</f>
        <v>5.39</v>
      </c>
      <c r="G217" s="29"/>
      <c r="H217" s="92"/>
      <c r="I217" s="92"/>
      <c r="J217" s="92"/>
    </row>
    <row r="218" spans="1:10">
      <c r="A218" s="103"/>
      <c r="B218" s="104"/>
      <c r="C218" s="105"/>
      <c r="D218" s="106"/>
      <c r="E218" s="22" t="s">
        <v>156</v>
      </c>
      <c r="F218" s="34">
        <f>59.5*0.05</f>
        <v>2.98</v>
      </c>
      <c r="G218" s="29"/>
      <c r="H218" s="92"/>
      <c r="I218" s="92"/>
      <c r="J218" s="92"/>
    </row>
    <row r="219" spans="1:10">
      <c r="A219" s="103"/>
      <c r="B219" s="104"/>
      <c r="C219" s="105"/>
      <c r="D219" s="106"/>
      <c r="E219" s="22"/>
      <c r="F219" s="35">
        <f>SUM(F217:F218)</f>
        <v>8.3699999999999992</v>
      </c>
      <c r="G219" s="29"/>
      <c r="H219" s="92"/>
      <c r="I219" s="92"/>
      <c r="J219" s="92"/>
    </row>
    <row r="220" spans="1:10">
      <c r="A220" s="103"/>
      <c r="B220" s="104"/>
      <c r="C220" s="105"/>
      <c r="D220" s="106"/>
      <c r="E220" s="111"/>
      <c r="F220" s="70"/>
      <c r="G220" s="29"/>
      <c r="H220" s="92"/>
      <c r="I220" s="92"/>
      <c r="J220" s="92"/>
    </row>
    <row r="221" spans="1:10" ht="25.5">
      <c r="A221" s="63">
        <f>MAX(A$1:A220)+1</f>
        <v>26</v>
      </c>
      <c r="B221" s="104"/>
      <c r="C221" s="64" t="s">
        <v>109</v>
      </c>
      <c r="D221" s="65"/>
      <c r="E221" s="66" t="s">
        <v>446</v>
      </c>
      <c r="F221" s="67"/>
      <c r="G221" s="68" t="s">
        <v>7</v>
      </c>
      <c r="H221" s="21">
        <f>H222</f>
        <v>14.2</v>
      </c>
      <c r="I221" s="306"/>
      <c r="J221" s="21">
        <f t="shared" si="3"/>
        <v>0</v>
      </c>
    </row>
    <row r="222" spans="1:10" ht="38.25">
      <c r="A222" s="103"/>
      <c r="B222" s="104"/>
      <c r="C222" s="65"/>
      <c r="D222" s="80" t="s">
        <v>110</v>
      </c>
      <c r="E222" s="81" t="s">
        <v>447</v>
      </c>
      <c r="F222" s="82"/>
      <c r="G222" s="83" t="s">
        <v>7</v>
      </c>
      <c r="H222" s="40">
        <v>14.2</v>
      </c>
      <c r="I222" s="40"/>
      <c r="J222" s="40"/>
    </row>
    <row r="223" spans="1:10" ht="25.5">
      <c r="A223" s="103"/>
      <c r="B223" s="104"/>
      <c r="C223" s="105"/>
      <c r="D223" s="106"/>
      <c r="E223" s="37" t="s">
        <v>141</v>
      </c>
      <c r="F223" s="70"/>
      <c r="G223" s="29"/>
      <c r="H223" s="92"/>
      <c r="I223" s="92"/>
      <c r="J223" s="92"/>
    </row>
    <row r="224" spans="1:10">
      <c r="A224" s="103"/>
      <c r="B224" s="104"/>
      <c r="C224" s="105"/>
      <c r="D224" s="106"/>
      <c r="E224" s="22" t="s">
        <v>134</v>
      </c>
      <c r="F224" s="33">
        <v>4.84</v>
      </c>
      <c r="G224" s="29"/>
      <c r="H224" s="92"/>
      <c r="I224" s="92"/>
      <c r="J224" s="92"/>
    </row>
    <row r="225" spans="1:10">
      <c r="A225" s="103"/>
      <c r="B225" s="104"/>
      <c r="C225" s="105"/>
      <c r="D225" s="106"/>
      <c r="E225" s="22" t="s">
        <v>135</v>
      </c>
      <c r="F225" s="34">
        <v>9.36</v>
      </c>
      <c r="G225" s="29"/>
      <c r="H225" s="92"/>
      <c r="I225" s="92"/>
      <c r="J225" s="92"/>
    </row>
    <row r="226" spans="1:10">
      <c r="A226" s="103"/>
      <c r="B226" s="104"/>
      <c r="C226" s="105"/>
      <c r="D226" s="106"/>
      <c r="E226" s="22"/>
      <c r="F226" s="35">
        <f>SUM(F224:F225)</f>
        <v>14.2</v>
      </c>
      <c r="G226" s="29"/>
      <c r="H226" s="92"/>
      <c r="I226" s="92"/>
      <c r="J226" s="92"/>
    </row>
    <row r="227" spans="1:10">
      <c r="A227" s="103"/>
      <c r="B227" s="104"/>
      <c r="C227" s="105"/>
      <c r="D227" s="106"/>
      <c r="E227" s="111"/>
      <c r="F227" s="70"/>
      <c r="G227" s="29"/>
      <c r="H227" s="92"/>
      <c r="I227" s="92"/>
      <c r="J227" s="92"/>
    </row>
    <row r="228" spans="1:10" ht="25.5">
      <c r="A228" s="63">
        <f>MAX(A$1:A225)+1</f>
        <v>27</v>
      </c>
      <c r="B228" s="104"/>
      <c r="C228" s="64" t="s">
        <v>111</v>
      </c>
      <c r="D228" s="65"/>
      <c r="E228" s="66" t="s">
        <v>112</v>
      </c>
      <c r="F228" s="67"/>
      <c r="G228" s="68" t="s">
        <v>1</v>
      </c>
      <c r="H228" s="21">
        <v>12</v>
      </c>
      <c r="I228" s="306"/>
      <c r="J228" s="21">
        <f t="shared" si="3"/>
        <v>0</v>
      </c>
    </row>
    <row r="229" spans="1:10">
      <c r="A229" s="103"/>
      <c r="B229" s="104"/>
      <c r="C229" s="105"/>
      <c r="D229" s="106"/>
      <c r="E229" s="71" t="s">
        <v>212</v>
      </c>
      <c r="F229" s="33">
        <v>6</v>
      </c>
      <c r="G229" s="29"/>
      <c r="H229" s="92"/>
      <c r="I229" s="92"/>
      <c r="J229" s="92"/>
    </row>
    <row r="230" spans="1:10">
      <c r="A230" s="103"/>
      <c r="B230" s="104"/>
      <c r="C230" s="105"/>
      <c r="D230" s="106"/>
      <c r="E230" s="71" t="s">
        <v>213</v>
      </c>
      <c r="F230" s="34">
        <v>6</v>
      </c>
      <c r="G230" s="29"/>
      <c r="H230" s="92"/>
      <c r="I230" s="92"/>
      <c r="J230" s="92"/>
    </row>
    <row r="231" spans="1:10">
      <c r="A231" s="103"/>
      <c r="B231" s="104"/>
      <c r="C231" s="105"/>
      <c r="D231" s="106"/>
      <c r="E231" s="71"/>
      <c r="F231" s="73">
        <f>SUM(F229:F230)</f>
        <v>12</v>
      </c>
      <c r="G231" s="29"/>
      <c r="H231" s="92"/>
      <c r="I231" s="92"/>
      <c r="J231" s="92"/>
    </row>
    <row r="232" spans="1:10">
      <c r="A232" s="103"/>
      <c r="B232" s="104"/>
      <c r="C232" s="105"/>
      <c r="D232" s="106"/>
      <c r="E232" s="111"/>
      <c r="F232" s="70"/>
      <c r="G232" s="29"/>
      <c r="H232" s="92"/>
      <c r="I232" s="92"/>
      <c r="J232" s="92"/>
    </row>
    <row r="233" spans="1:10">
      <c r="A233" s="103"/>
      <c r="B233" s="104"/>
      <c r="C233" s="105"/>
      <c r="D233" s="106"/>
      <c r="E233" s="111"/>
      <c r="F233" s="70"/>
      <c r="G233" s="29"/>
      <c r="H233" s="92"/>
      <c r="I233" s="92"/>
      <c r="J233" s="92"/>
    </row>
    <row r="234" spans="1:10" ht="25.5">
      <c r="A234" s="103"/>
      <c r="B234" s="54" t="s">
        <v>115</v>
      </c>
      <c r="C234" s="54"/>
      <c r="D234" s="65"/>
      <c r="E234" s="66" t="s">
        <v>122</v>
      </c>
      <c r="F234" s="110"/>
      <c r="G234" s="83"/>
      <c r="H234" s="92"/>
      <c r="I234" s="92"/>
      <c r="J234" s="92"/>
    </row>
    <row r="235" spans="1:10">
      <c r="A235" s="103"/>
      <c r="B235" s="104"/>
      <c r="C235" s="105"/>
      <c r="D235" s="106"/>
      <c r="E235" s="111"/>
      <c r="F235" s="70"/>
      <c r="G235" s="29"/>
      <c r="H235" s="92"/>
      <c r="I235" s="92"/>
      <c r="J235" s="92"/>
    </row>
    <row r="236" spans="1:10" ht="25.5">
      <c r="A236" s="63">
        <f>MAX(A$1:A235)+1</f>
        <v>28</v>
      </c>
      <c r="B236" s="104"/>
      <c r="C236" s="64" t="s">
        <v>87</v>
      </c>
      <c r="D236" s="65"/>
      <c r="E236" s="66" t="s">
        <v>88</v>
      </c>
      <c r="F236" s="67"/>
      <c r="G236" s="68" t="s">
        <v>8</v>
      </c>
      <c r="H236" s="21">
        <v>34.01</v>
      </c>
      <c r="I236" s="306"/>
      <c r="J236" s="21">
        <f t="shared" si="3"/>
        <v>0</v>
      </c>
    </row>
    <row r="237" spans="1:10">
      <c r="A237" s="103"/>
      <c r="B237" s="104"/>
      <c r="C237" s="105"/>
      <c r="D237" s="106"/>
      <c r="E237" s="37" t="s">
        <v>139</v>
      </c>
      <c r="F237" s="70"/>
      <c r="G237" s="29"/>
      <c r="H237" s="92"/>
      <c r="I237" s="92"/>
      <c r="J237" s="92"/>
    </row>
    <row r="238" spans="1:10">
      <c r="A238" s="103"/>
      <c r="B238" s="104"/>
      <c r="C238" s="105"/>
      <c r="D238" s="106"/>
      <c r="E238" s="22" t="s">
        <v>161</v>
      </c>
      <c r="F238" s="33">
        <f>105.44*0.2</f>
        <v>21.09</v>
      </c>
      <c r="G238" s="29"/>
      <c r="H238" s="92"/>
      <c r="I238" s="92"/>
      <c r="J238" s="92"/>
    </row>
    <row r="239" spans="1:10">
      <c r="A239" s="103"/>
      <c r="B239" s="104"/>
      <c r="C239" s="105"/>
      <c r="D239" s="106"/>
      <c r="E239" s="22" t="s">
        <v>162</v>
      </c>
      <c r="F239" s="34">
        <f>64.6*0.2</f>
        <v>12.92</v>
      </c>
      <c r="G239" s="29"/>
      <c r="H239" s="92"/>
      <c r="I239" s="92"/>
      <c r="J239" s="92"/>
    </row>
    <row r="240" spans="1:10">
      <c r="A240" s="103"/>
      <c r="B240" s="104"/>
      <c r="C240" s="105"/>
      <c r="D240" s="106"/>
      <c r="E240" s="22"/>
      <c r="F240" s="35">
        <f>SUM(F238:F239)</f>
        <v>34.01</v>
      </c>
      <c r="G240" s="29"/>
      <c r="H240" s="92"/>
      <c r="I240" s="92"/>
      <c r="J240" s="92"/>
    </row>
    <row r="241" spans="1:10">
      <c r="A241" s="103"/>
      <c r="B241" s="104"/>
      <c r="C241" s="105"/>
      <c r="D241" s="106"/>
      <c r="E241" s="111"/>
      <c r="F241" s="70"/>
      <c r="G241" s="29"/>
      <c r="H241" s="92"/>
      <c r="I241" s="92"/>
      <c r="J241" s="92"/>
    </row>
    <row r="242" spans="1:10" ht="25.5">
      <c r="A242" s="63">
        <f>MAX(A$1:A241)+1</f>
        <v>29</v>
      </c>
      <c r="B242" s="104"/>
      <c r="C242" s="64" t="s">
        <v>89</v>
      </c>
      <c r="D242" s="65"/>
      <c r="E242" s="66" t="s">
        <v>90</v>
      </c>
      <c r="F242" s="67"/>
      <c r="G242" s="68" t="s">
        <v>8</v>
      </c>
      <c r="H242" s="21">
        <f>H243</f>
        <v>5.05</v>
      </c>
      <c r="I242" s="306"/>
      <c r="J242" s="21">
        <f t="shared" si="3"/>
        <v>0</v>
      </c>
    </row>
    <row r="243" spans="1:10" ht="25.5">
      <c r="A243" s="103"/>
      <c r="B243" s="104"/>
      <c r="C243" s="102"/>
      <c r="D243" s="80" t="s">
        <v>91</v>
      </c>
      <c r="E243" s="81" t="s">
        <v>92</v>
      </c>
      <c r="F243" s="82"/>
      <c r="G243" s="83" t="s">
        <v>8</v>
      </c>
      <c r="H243" s="40">
        <v>5.05</v>
      </c>
      <c r="I243" s="40"/>
      <c r="J243" s="40"/>
    </row>
    <row r="244" spans="1:10">
      <c r="A244" s="103"/>
      <c r="B244" s="104"/>
      <c r="C244" s="105"/>
      <c r="D244" s="106"/>
      <c r="E244" s="69" t="s">
        <v>214</v>
      </c>
      <c r="F244" s="70"/>
      <c r="G244" s="29"/>
      <c r="H244" s="92"/>
      <c r="I244" s="92"/>
      <c r="J244" s="92"/>
    </row>
    <row r="245" spans="1:10">
      <c r="A245" s="103"/>
      <c r="B245" s="104"/>
      <c r="C245" s="105"/>
      <c r="D245" s="106"/>
      <c r="E245" s="22" t="s">
        <v>124</v>
      </c>
      <c r="F245" s="33">
        <v>2.5</v>
      </c>
      <c r="G245" s="29"/>
      <c r="H245" s="92"/>
      <c r="I245" s="92"/>
      <c r="J245" s="92"/>
    </row>
    <row r="246" spans="1:10">
      <c r="A246" s="103"/>
      <c r="B246" s="104"/>
      <c r="C246" s="105"/>
      <c r="D246" s="106"/>
      <c r="E246" s="22" t="s">
        <v>135</v>
      </c>
      <c r="F246" s="34">
        <v>2.5499999999999998</v>
      </c>
      <c r="G246" s="29"/>
      <c r="H246" s="92"/>
      <c r="I246" s="92"/>
      <c r="J246" s="92"/>
    </row>
    <row r="247" spans="1:10">
      <c r="A247" s="103"/>
      <c r="B247" s="104"/>
      <c r="C247" s="105"/>
      <c r="D247" s="106"/>
      <c r="E247" s="22"/>
      <c r="F247" s="35">
        <f>SUM(F245:F246)</f>
        <v>5.05</v>
      </c>
      <c r="G247" s="29"/>
      <c r="H247" s="92"/>
      <c r="I247" s="92"/>
      <c r="J247" s="92"/>
    </row>
    <row r="248" spans="1:10">
      <c r="A248" s="103"/>
      <c r="B248" s="104"/>
      <c r="C248" s="105"/>
      <c r="D248" s="106"/>
      <c r="E248" s="111"/>
      <c r="F248" s="70"/>
      <c r="G248" s="29"/>
      <c r="H248" s="92"/>
      <c r="I248" s="92"/>
      <c r="J248" s="92"/>
    </row>
    <row r="249" spans="1:10" ht="25.5">
      <c r="A249" s="63">
        <f>MAX(A$1:A246)+1</f>
        <v>30</v>
      </c>
      <c r="B249" s="104"/>
      <c r="C249" s="64" t="s">
        <v>93</v>
      </c>
      <c r="D249" s="65"/>
      <c r="E249" s="66" t="s">
        <v>94</v>
      </c>
      <c r="F249" s="67"/>
      <c r="G249" s="68" t="s">
        <v>8</v>
      </c>
      <c r="H249" s="21">
        <v>3.15</v>
      </c>
      <c r="I249" s="306"/>
      <c r="J249" s="21">
        <f t="shared" si="3"/>
        <v>0</v>
      </c>
    </row>
    <row r="250" spans="1:10">
      <c r="A250" s="103"/>
      <c r="B250" s="104"/>
      <c r="C250" s="105"/>
      <c r="D250" s="106"/>
      <c r="E250" s="37" t="s">
        <v>140</v>
      </c>
      <c r="F250" s="70"/>
      <c r="G250" s="29"/>
      <c r="H250" s="92"/>
      <c r="I250" s="92"/>
      <c r="J250" s="92"/>
    </row>
    <row r="251" spans="1:10">
      <c r="A251" s="103"/>
      <c r="B251" s="104"/>
      <c r="C251" s="105"/>
      <c r="D251" s="106"/>
      <c r="E251" s="22" t="s">
        <v>163</v>
      </c>
      <c r="F251" s="33">
        <f>16.4*0.1</f>
        <v>1.64</v>
      </c>
      <c r="G251" s="29"/>
      <c r="H251" s="92"/>
      <c r="I251" s="92"/>
      <c r="J251" s="92"/>
    </row>
    <row r="252" spans="1:10">
      <c r="A252" s="103"/>
      <c r="B252" s="104"/>
      <c r="C252" s="105"/>
      <c r="D252" s="106"/>
      <c r="E252" s="22" t="s">
        <v>164</v>
      </c>
      <c r="F252" s="34">
        <f>15.1*0.1</f>
        <v>1.51</v>
      </c>
      <c r="G252" s="29"/>
      <c r="H252" s="92"/>
      <c r="I252" s="92"/>
      <c r="J252" s="92"/>
    </row>
    <row r="253" spans="1:10">
      <c r="A253" s="103"/>
      <c r="B253" s="104"/>
      <c r="C253" s="105"/>
      <c r="D253" s="106"/>
      <c r="E253" s="22"/>
      <c r="F253" s="35">
        <f>SUM(F251:F252)</f>
        <v>3.15</v>
      </c>
      <c r="G253" s="29"/>
      <c r="H253" s="92"/>
      <c r="I253" s="92"/>
      <c r="J253" s="92"/>
    </row>
    <row r="254" spans="1:10">
      <c r="A254" s="103"/>
      <c r="B254" s="104"/>
      <c r="C254" s="105"/>
      <c r="D254" s="106"/>
      <c r="E254" s="111"/>
      <c r="F254" s="70"/>
      <c r="G254" s="29"/>
      <c r="H254" s="92"/>
      <c r="I254" s="92"/>
      <c r="J254" s="92"/>
    </row>
    <row r="255" spans="1:10" ht="38.25">
      <c r="A255" s="63">
        <f>MAX(A$1:A254)+1</f>
        <v>31</v>
      </c>
      <c r="B255" s="104"/>
      <c r="C255" s="64" t="s">
        <v>95</v>
      </c>
      <c r="D255" s="65"/>
      <c r="E255" s="66" t="s">
        <v>96</v>
      </c>
      <c r="F255" s="67"/>
      <c r="G255" s="68" t="s">
        <v>8</v>
      </c>
      <c r="H255" s="21">
        <f>H256</f>
        <v>27.35</v>
      </c>
      <c r="I255" s="306"/>
      <c r="J255" s="21">
        <f t="shared" si="3"/>
        <v>0</v>
      </c>
    </row>
    <row r="256" spans="1:10" ht="38.25">
      <c r="A256" s="103"/>
      <c r="B256" s="104"/>
      <c r="C256" s="105"/>
      <c r="D256" s="80" t="s">
        <v>97</v>
      </c>
      <c r="E256" s="81" t="s">
        <v>98</v>
      </c>
      <c r="F256" s="82"/>
      <c r="G256" s="83" t="s">
        <v>8</v>
      </c>
      <c r="H256" s="40">
        <v>27.35</v>
      </c>
      <c r="I256" s="40"/>
      <c r="J256" s="40"/>
    </row>
    <row r="257" spans="1:10">
      <c r="A257" s="103"/>
      <c r="B257" s="104"/>
      <c r="C257" s="105"/>
      <c r="D257" s="106"/>
      <c r="E257" s="37" t="s">
        <v>138</v>
      </c>
      <c r="F257" s="70"/>
      <c r="G257" s="29"/>
      <c r="H257" s="92"/>
      <c r="I257" s="92"/>
      <c r="J257" s="92"/>
    </row>
    <row r="258" spans="1:10">
      <c r="A258" s="103"/>
      <c r="B258" s="104"/>
      <c r="C258" s="105"/>
      <c r="D258" s="106"/>
      <c r="E258" s="22" t="s">
        <v>159</v>
      </c>
      <c r="F258" s="33">
        <f>93.12*0.18</f>
        <v>16.760000000000002</v>
      </c>
      <c r="G258" s="29"/>
      <c r="H258" s="92"/>
      <c r="I258" s="92"/>
      <c r="J258" s="92"/>
    </row>
    <row r="259" spans="1:10">
      <c r="A259" s="103"/>
      <c r="B259" s="104"/>
      <c r="C259" s="105"/>
      <c r="D259" s="106"/>
      <c r="E259" s="22" t="s">
        <v>160</v>
      </c>
      <c r="F259" s="34">
        <f>58.8*0.18</f>
        <v>10.58</v>
      </c>
      <c r="G259" s="29"/>
      <c r="H259" s="92"/>
      <c r="I259" s="92"/>
      <c r="J259" s="92"/>
    </row>
    <row r="260" spans="1:10">
      <c r="A260" s="103"/>
      <c r="B260" s="104"/>
      <c r="C260" s="105"/>
      <c r="D260" s="106"/>
      <c r="E260" s="22"/>
      <c r="F260" s="35">
        <f>SUM(F258:F259)</f>
        <v>27.34</v>
      </c>
      <c r="G260" s="29"/>
      <c r="H260" s="92"/>
      <c r="I260" s="92"/>
      <c r="J260" s="92"/>
    </row>
    <row r="261" spans="1:10">
      <c r="A261" s="103"/>
      <c r="B261" s="104"/>
      <c r="C261" s="105"/>
      <c r="D261" s="106"/>
      <c r="E261" s="111"/>
      <c r="F261" s="70"/>
      <c r="G261" s="29"/>
      <c r="H261" s="92"/>
      <c r="I261" s="92"/>
      <c r="J261" s="92"/>
    </row>
    <row r="262" spans="1:10" ht="25.5">
      <c r="A262" s="63">
        <f>MAX(A$1:A261)+1</f>
        <v>32</v>
      </c>
      <c r="B262" s="104"/>
      <c r="C262" s="64" t="s">
        <v>99</v>
      </c>
      <c r="D262" s="65"/>
      <c r="E262" s="66" t="s">
        <v>116</v>
      </c>
      <c r="F262" s="67"/>
      <c r="G262" s="68" t="s">
        <v>2</v>
      </c>
      <c r="H262" s="21">
        <f>H263</f>
        <v>149.52000000000001</v>
      </c>
      <c r="I262" s="306"/>
      <c r="J262" s="21">
        <f t="shared" si="3"/>
        <v>0</v>
      </c>
    </row>
    <row r="263" spans="1:10" ht="25.5">
      <c r="A263" s="103"/>
      <c r="B263" s="104"/>
      <c r="C263" s="105"/>
      <c r="D263" s="80" t="s">
        <v>100</v>
      </c>
      <c r="E263" s="81" t="s">
        <v>117</v>
      </c>
      <c r="F263" s="82"/>
      <c r="G263" s="83" t="s">
        <v>2</v>
      </c>
      <c r="H263" s="40">
        <v>149.52000000000001</v>
      </c>
      <c r="I263" s="40"/>
      <c r="J263" s="40"/>
    </row>
    <row r="264" spans="1:10">
      <c r="A264" s="103"/>
      <c r="B264" s="104"/>
      <c r="C264" s="105"/>
      <c r="D264" s="106"/>
      <c r="E264" s="37" t="s">
        <v>137</v>
      </c>
      <c r="F264" s="70"/>
      <c r="G264" s="29"/>
      <c r="H264" s="92"/>
      <c r="I264" s="92"/>
      <c r="J264" s="92"/>
    </row>
    <row r="265" spans="1:10">
      <c r="A265" s="103"/>
      <c r="B265" s="104"/>
      <c r="C265" s="105"/>
      <c r="D265" s="106"/>
      <c r="E265" s="22" t="s">
        <v>134</v>
      </c>
      <c r="F265" s="33">
        <v>90.72</v>
      </c>
      <c r="G265" s="29"/>
      <c r="H265" s="92"/>
      <c r="I265" s="92"/>
      <c r="J265" s="92"/>
    </row>
    <row r="266" spans="1:10">
      <c r="A266" s="103"/>
      <c r="B266" s="104"/>
      <c r="C266" s="105"/>
      <c r="D266" s="106"/>
      <c r="E266" s="22" t="s">
        <v>135</v>
      </c>
      <c r="F266" s="34">
        <v>58.8</v>
      </c>
      <c r="G266" s="29"/>
      <c r="H266" s="92"/>
      <c r="I266" s="92"/>
      <c r="J266" s="92"/>
    </row>
    <row r="267" spans="1:10">
      <c r="A267" s="103"/>
      <c r="B267" s="104"/>
      <c r="C267" s="105"/>
      <c r="D267" s="106"/>
      <c r="E267" s="22"/>
      <c r="F267" s="35">
        <f>SUM(F265:F266)</f>
        <v>149.52000000000001</v>
      </c>
      <c r="G267" s="29"/>
      <c r="H267" s="92"/>
      <c r="I267" s="92"/>
      <c r="J267" s="92"/>
    </row>
    <row r="268" spans="1:10">
      <c r="A268" s="103"/>
      <c r="B268" s="104"/>
      <c r="C268" s="105"/>
      <c r="D268" s="106"/>
      <c r="E268" s="111"/>
      <c r="F268" s="70"/>
      <c r="G268" s="29"/>
      <c r="H268" s="92"/>
      <c r="I268" s="92"/>
      <c r="J268" s="92"/>
    </row>
    <row r="269" spans="1:10">
      <c r="A269" s="103"/>
      <c r="B269" s="104"/>
      <c r="C269" s="105"/>
      <c r="D269" s="106"/>
      <c r="E269" s="111"/>
      <c r="F269" s="70"/>
      <c r="G269" s="29"/>
      <c r="H269" s="92"/>
      <c r="I269" s="92"/>
      <c r="J269" s="92"/>
    </row>
    <row r="270" spans="1:10" ht="25.5">
      <c r="A270" s="63">
        <f>MAX(A$1:A269)+1</f>
        <v>33</v>
      </c>
      <c r="B270" s="104"/>
      <c r="C270" s="64" t="s">
        <v>118</v>
      </c>
      <c r="D270" s="65"/>
      <c r="E270" s="66" t="s">
        <v>119</v>
      </c>
      <c r="F270" s="67"/>
      <c r="G270" s="68" t="s">
        <v>8</v>
      </c>
      <c r="H270" s="21">
        <f>H271</f>
        <v>10.39</v>
      </c>
      <c r="I270" s="306"/>
      <c r="J270" s="21">
        <f t="shared" ref="J270:J280" si="4">I270*H270</f>
        <v>0</v>
      </c>
    </row>
    <row r="271" spans="1:10" ht="38.25">
      <c r="A271" s="103"/>
      <c r="B271" s="104"/>
      <c r="C271" s="105"/>
      <c r="D271" s="80" t="s">
        <v>120</v>
      </c>
      <c r="E271" s="81" t="s">
        <v>121</v>
      </c>
      <c r="F271" s="82"/>
      <c r="G271" s="83" t="s">
        <v>8</v>
      </c>
      <c r="H271" s="40">
        <v>10.39</v>
      </c>
      <c r="I271" s="40"/>
      <c r="J271" s="40"/>
    </row>
    <row r="272" spans="1:10" ht="28.5">
      <c r="A272" s="103"/>
      <c r="B272" s="104"/>
      <c r="C272" s="105"/>
      <c r="D272" s="106"/>
      <c r="E272" s="37" t="s">
        <v>136</v>
      </c>
      <c r="F272" s="70"/>
      <c r="G272" s="29"/>
      <c r="H272" s="92"/>
      <c r="I272" s="92"/>
      <c r="J272" s="92"/>
    </row>
    <row r="273" spans="1:10">
      <c r="A273" s="103"/>
      <c r="B273" s="104"/>
      <c r="C273" s="105"/>
      <c r="D273" s="106"/>
      <c r="E273" s="22" t="s">
        <v>157</v>
      </c>
      <c r="F273" s="33">
        <f>90.03*0.07</f>
        <v>6.3</v>
      </c>
      <c r="G273" s="29"/>
      <c r="H273" s="92"/>
      <c r="I273" s="92"/>
      <c r="J273" s="92"/>
    </row>
    <row r="274" spans="1:10">
      <c r="A274" s="103"/>
      <c r="B274" s="104"/>
      <c r="C274" s="105"/>
      <c r="D274" s="106"/>
      <c r="E274" s="22" t="s">
        <v>158</v>
      </c>
      <c r="F274" s="34">
        <f>58.42*0.07</f>
        <v>4.09</v>
      </c>
      <c r="G274" s="29"/>
      <c r="H274" s="92"/>
      <c r="I274" s="92"/>
      <c r="J274" s="92"/>
    </row>
    <row r="275" spans="1:10">
      <c r="A275" s="103"/>
      <c r="B275" s="104"/>
      <c r="C275" s="105"/>
      <c r="D275" s="106"/>
      <c r="E275" s="22"/>
      <c r="F275" s="35">
        <f>SUM(F273:F274)</f>
        <v>10.39</v>
      </c>
      <c r="G275" s="29"/>
      <c r="H275" s="92"/>
      <c r="I275" s="92"/>
      <c r="J275" s="92"/>
    </row>
    <row r="276" spans="1:10">
      <c r="A276" s="103"/>
      <c r="B276" s="104"/>
      <c r="C276" s="105"/>
      <c r="D276" s="106"/>
      <c r="E276" s="111"/>
      <c r="F276" s="70"/>
      <c r="G276" s="29"/>
      <c r="H276" s="92"/>
      <c r="I276" s="92"/>
      <c r="J276" s="92"/>
    </row>
    <row r="277" spans="1:10">
      <c r="A277" s="103"/>
      <c r="B277" s="104"/>
      <c r="C277" s="105"/>
      <c r="D277" s="106"/>
      <c r="E277" s="111"/>
      <c r="F277" s="70"/>
      <c r="G277" s="29"/>
      <c r="H277" s="92"/>
      <c r="I277" s="92"/>
      <c r="J277" s="92"/>
    </row>
    <row r="278" spans="1:10">
      <c r="A278" s="103"/>
      <c r="B278" s="54" t="s">
        <v>9</v>
      </c>
      <c r="C278" s="54"/>
      <c r="D278" s="65"/>
      <c r="E278" s="66" t="s">
        <v>10</v>
      </c>
      <c r="F278" s="110"/>
      <c r="G278" s="83"/>
      <c r="H278" s="92"/>
      <c r="I278" s="92"/>
      <c r="J278" s="92"/>
    </row>
    <row r="279" spans="1:10">
      <c r="A279" s="103"/>
      <c r="B279" s="104"/>
      <c r="C279" s="105"/>
      <c r="D279" s="106"/>
      <c r="E279" s="111"/>
      <c r="F279" s="70"/>
      <c r="G279" s="29"/>
      <c r="H279" s="92"/>
      <c r="I279" s="92"/>
      <c r="J279" s="92"/>
    </row>
    <row r="280" spans="1:10" ht="25.5">
      <c r="A280" s="63">
        <f>MAX(A$1:A279)+1</f>
        <v>34</v>
      </c>
      <c r="B280" s="104"/>
      <c r="C280" s="64" t="s">
        <v>11</v>
      </c>
      <c r="D280" s="65"/>
      <c r="E280" s="66" t="s">
        <v>12</v>
      </c>
      <c r="F280" s="67"/>
      <c r="G280" s="68" t="s">
        <v>2</v>
      </c>
      <c r="H280" s="21">
        <f>H281</f>
        <v>89.9</v>
      </c>
      <c r="I280" s="306"/>
      <c r="J280" s="21">
        <f t="shared" si="4"/>
        <v>0</v>
      </c>
    </row>
    <row r="281" spans="1:10" ht="25.5">
      <c r="A281" s="103"/>
      <c r="B281" s="104"/>
      <c r="C281" s="102"/>
      <c r="D281" s="80" t="s">
        <v>13</v>
      </c>
      <c r="E281" s="81" t="s">
        <v>14</v>
      </c>
      <c r="F281" s="82"/>
      <c r="G281" s="83" t="s">
        <v>2</v>
      </c>
      <c r="H281" s="40">
        <v>89.9</v>
      </c>
      <c r="I281" s="40"/>
      <c r="J281" s="40"/>
    </row>
    <row r="282" spans="1:10">
      <c r="A282" s="103"/>
      <c r="B282" s="104"/>
      <c r="C282" s="105"/>
      <c r="D282" s="106"/>
      <c r="E282" s="37" t="s">
        <v>145</v>
      </c>
      <c r="F282" s="70"/>
      <c r="G282" s="29"/>
      <c r="H282" s="92"/>
      <c r="I282" s="92"/>
      <c r="J282" s="92"/>
    </row>
    <row r="283" spans="1:10">
      <c r="A283" s="103"/>
      <c r="B283" s="104"/>
      <c r="C283" s="105"/>
      <c r="D283" s="106"/>
      <c r="E283" s="22" t="s">
        <v>134</v>
      </c>
      <c r="F283" s="33">
        <v>77.849999999999994</v>
      </c>
      <c r="G283" s="29"/>
      <c r="H283" s="92"/>
      <c r="I283" s="92"/>
      <c r="J283" s="92"/>
    </row>
    <row r="284" spans="1:10">
      <c r="A284" s="103"/>
      <c r="B284" s="104"/>
      <c r="C284" s="105"/>
      <c r="D284" s="106"/>
      <c r="E284" s="22" t="s">
        <v>135</v>
      </c>
      <c r="F284" s="34">
        <v>12.05</v>
      </c>
      <c r="G284" s="29"/>
      <c r="H284" s="92"/>
      <c r="I284" s="92"/>
      <c r="J284" s="92"/>
    </row>
    <row r="285" spans="1:10">
      <c r="A285" s="103"/>
      <c r="B285" s="104"/>
      <c r="C285" s="105"/>
      <c r="D285" s="106"/>
      <c r="E285" s="22"/>
      <c r="F285" s="35">
        <f>SUM(F283:F284)</f>
        <v>89.9</v>
      </c>
      <c r="G285" s="29"/>
      <c r="H285" s="92"/>
      <c r="I285" s="92"/>
      <c r="J285" s="92"/>
    </row>
    <row r="286" spans="1:10">
      <c r="A286" s="103"/>
      <c r="B286" s="104"/>
      <c r="C286" s="105"/>
      <c r="D286" s="106"/>
      <c r="E286" s="111"/>
      <c r="F286" s="70"/>
      <c r="G286" s="29"/>
      <c r="H286" s="92"/>
      <c r="I286" s="92"/>
      <c r="J286" s="92"/>
    </row>
    <row r="287" spans="1:10" ht="13.5" thickBot="1">
      <c r="A287" s="47"/>
      <c r="B287" s="48"/>
      <c r="C287" s="113"/>
      <c r="D287" s="49"/>
      <c r="E287" s="50"/>
      <c r="F287" s="51"/>
      <c r="G287" s="52"/>
      <c r="H287" s="53"/>
      <c r="I287" s="53"/>
      <c r="J287" s="53"/>
    </row>
    <row r="288" spans="1:10" s="162" customFormat="1" ht="13.5" thickBot="1">
      <c r="A288" s="158"/>
      <c r="B288" s="159"/>
      <c r="C288" s="159"/>
      <c r="D288" s="159"/>
      <c r="E288" s="159" t="s">
        <v>564</v>
      </c>
      <c r="F288" s="160"/>
      <c r="G288" s="159"/>
      <c r="H288" s="160"/>
      <c r="I288" s="160"/>
      <c r="J288" s="161">
        <f>SUM(J5:J287)</f>
        <v>0</v>
      </c>
    </row>
  </sheetData>
  <sheetProtection algorithmName="SHA-512" hashValue="axWjhnAHlexaNLGONLyIGyTsG7wmFVLLglVzHcdDg7QtPOh2QTvhVPluqQMySH2oc+UU5g3m0JFG/8GXh/uDxg==" saltValue="sVMNlUX8G4EyHMkqXrML9A==" spinCount="100000" sheet="1" objects="1" scenarios="1"/>
  <mergeCells count="6">
    <mergeCell ref="J3:J4"/>
    <mergeCell ref="A3:C3"/>
    <mergeCell ref="E3:F4"/>
    <mergeCell ref="G3:G4"/>
    <mergeCell ref="H3:H4"/>
    <mergeCell ref="I3:I4"/>
  </mergeCells>
  <pageMargins left="0.39370078740157483" right="0.19685039370078741" top="0.98425196850393704" bottom="0.98425196850393704" header="0.51181102362204722" footer="0.51181102362204722"/>
  <pageSetup paperSize="9" scale="72" orientation="portrait" r:id="rId1"/>
  <headerFooter>
    <oddHeader>&amp;LNÁZOV STAVIEB : Rekonštrukcia a obnova mostov na cestách III. triedy BBSK, oblasť JUH
STAVBA : Most ev. č. 2561-3, C III/2561 v km 6,450 – Kráľovce-Krnišov&amp;RO. Výkaz výmer a rozpočet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4E98FF-EB4F-43EC-9F97-8E9503F5DA45}">
  <dimension ref="A1:J433"/>
  <sheetViews>
    <sheetView showGridLines="0" zoomScaleNormal="100" workbookViewId="0">
      <pane ySplit="4" topLeftCell="A5" activePane="bottomLeft" state="frozen"/>
      <selection pane="bottomLeft"/>
    </sheetView>
  </sheetViews>
  <sheetFormatPr defaultRowHeight="12.75"/>
  <cols>
    <col min="1" max="1" width="4.7109375" style="56" customWidth="1"/>
    <col min="2" max="2" width="9.28515625" style="56" customWidth="1"/>
    <col min="3" max="3" width="9" style="56" customWidth="1"/>
    <col min="4" max="4" width="10.85546875" style="56" customWidth="1"/>
    <col min="5" max="5" width="52.7109375" style="56" customWidth="1"/>
    <col min="6" max="6" width="9.85546875" style="114" customWidth="1"/>
    <col min="7" max="7" width="5.7109375" style="56" customWidth="1"/>
    <col min="8" max="9" width="10.140625" style="114" customWidth="1"/>
    <col min="10" max="10" width="14.85546875" style="114" customWidth="1"/>
    <col min="11" max="16384" width="9.140625" style="56"/>
  </cols>
  <sheetData>
    <row r="1" spans="1:10">
      <c r="A1" s="116" t="s">
        <v>15</v>
      </c>
      <c r="B1" s="116"/>
      <c r="C1" s="117"/>
      <c r="D1" s="118"/>
      <c r="E1" s="119" t="s">
        <v>217</v>
      </c>
      <c r="G1" s="120"/>
      <c r="H1" s="121"/>
      <c r="I1" s="121"/>
      <c r="J1" s="121"/>
    </row>
    <row r="2" spans="1:10" ht="13.5" thickBot="1">
      <c r="A2" s="7" t="s">
        <v>16</v>
      </c>
      <c r="B2" s="116"/>
      <c r="C2" s="117"/>
      <c r="D2" s="118"/>
      <c r="E2" s="122">
        <v>2141</v>
      </c>
      <c r="G2" s="9"/>
      <c r="H2" s="123"/>
      <c r="I2" s="123"/>
      <c r="J2" s="123"/>
    </row>
    <row r="3" spans="1:10">
      <c r="A3" s="294" t="s">
        <v>17</v>
      </c>
      <c r="B3" s="295"/>
      <c r="C3" s="295"/>
      <c r="D3" s="11"/>
      <c r="E3" s="296" t="s">
        <v>18</v>
      </c>
      <c r="F3" s="297"/>
      <c r="G3" s="300" t="s">
        <v>19</v>
      </c>
      <c r="H3" s="304" t="s">
        <v>20</v>
      </c>
      <c r="I3" s="282" t="s">
        <v>562</v>
      </c>
      <c r="J3" s="282" t="s">
        <v>563</v>
      </c>
    </row>
    <row r="4" spans="1:10" ht="13.5" thickBot="1">
      <c r="A4" s="12" t="s">
        <v>21</v>
      </c>
      <c r="B4" s="13" t="s">
        <v>24</v>
      </c>
      <c r="C4" s="13" t="s">
        <v>22</v>
      </c>
      <c r="D4" s="13" t="s">
        <v>23</v>
      </c>
      <c r="E4" s="298"/>
      <c r="F4" s="299"/>
      <c r="G4" s="301"/>
      <c r="H4" s="305"/>
      <c r="I4" s="283"/>
      <c r="J4" s="283"/>
    </row>
    <row r="5" spans="1:10">
      <c r="A5" s="14"/>
      <c r="B5" s="15"/>
      <c r="C5" s="15"/>
      <c r="D5" s="16"/>
      <c r="E5" s="17"/>
      <c r="F5" s="18"/>
      <c r="G5" s="19"/>
      <c r="H5" s="124"/>
      <c r="I5" s="124"/>
      <c r="J5" s="124"/>
    </row>
    <row r="6" spans="1:10">
      <c r="A6" s="63"/>
      <c r="B6" s="57" t="s">
        <v>169</v>
      </c>
      <c r="C6" s="58"/>
      <c r="D6" s="59"/>
      <c r="E6" s="60" t="s">
        <v>170</v>
      </c>
      <c r="F6" s="125"/>
      <c r="G6" s="126"/>
      <c r="H6" s="127"/>
      <c r="I6" s="127"/>
      <c r="J6" s="127"/>
    </row>
    <row r="7" spans="1:10">
      <c r="A7" s="63"/>
      <c r="B7" s="57"/>
      <c r="C7" s="58"/>
      <c r="D7" s="59"/>
      <c r="E7" s="60"/>
      <c r="F7" s="125"/>
      <c r="G7" s="126"/>
      <c r="H7" s="127"/>
      <c r="I7" s="127"/>
      <c r="J7" s="127"/>
    </row>
    <row r="8" spans="1:10">
      <c r="A8" s="63">
        <f>MAX(A$1:A7)+1</f>
        <v>1</v>
      </c>
      <c r="B8" s="57"/>
      <c r="C8" s="64" t="s">
        <v>561</v>
      </c>
      <c r="D8" s="65"/>
      <c r="E8" s="66" t="s">
        <v>218</v>
      </c>
      <c r="F8" s="67"/>
      <c r="G8" s="68" t="s">
        <v>219</v>
      </c>
      <c r="H8" s="21">
        <v>1</v>
      </c>
      <c r="I8" s="306"/>
      <c r="J8" s="21">
        <f t="shared" ref="J8:J63" si="0">I8*H8</f>
        <v>0</v>
      </c>
    </row>
    <row r="9" spans="1:10">
      <c r="A9" s="63"/>
      <c r="B9" s="57"/>
      <c r="C9" s="28"/>
      <c r="D9" s="29"/>
      <c r="E9" s="128" t="s">
        <v>220</v>
      </c>
      <c r="F9" s="23"/>
      <c r="G9" s="31"/>
      <c r="H9" s="32"/>
      <c r="I9" s="32"/>
      <c r="J9" s="32"/>
    </row>
    <row r="10" spans="1:10">
      <c r="A10" s="63"/>
      <c r="B10" s="57"/>
      <c r="C10" s="28"/>
      <c r="D10" s="29"/>
      <c r="E10" s="71" t="s">
        <v>221</v>
      </c>
      <c r="F10" s="23"/>
      <c r="G10" s="31"/>
      <c r="H10" s="32"/>
      <c r="I10" s="32"/>
      <c r="J10" s="32"/>
    </row>
    <row r="11" spans="1:10" ht="25.5">
      <c r="A11" s="63"/>
      <c r="B11" s="57"/>
      <c r="C11" s="28"/>
      <c r="D11" s="29"/>
      <c r="E11" s="71" t="s">
        <v>222</v>
      </c>
      <c r="F11" s="23"/>
      <c r="G11" s="31"/>
      <c r="H11" s="32"/>
      <c r="I11" s="32"/>
      <c r="J11" s="32"/>
    </row>
    <row r="12" spans="1:10">
      <c r="A12" s="63"/>
      <c r="B12" s="57"/>
      <c r="C12" s="28"/>
      <c r="D12" s="80"/>
      <c r="E12" s="128" t="s">
        <v>223</v>
      </c>
      <c r="F12" s="73"/>
      <c r="G12" s="83"/>
      <c r="H12" s="40"/>
      <c r="I12" s="40"/>
      <c r="J12" s="40"/>
    </row>
    <row r="13" spans="1:10">
      <c r="A13" s="63"/>
      <c r="B13" s="57"/>
      <c r="C13" s="28"/>
      <c r="D13" s="80"/>
      <c r="E13" s="71" t="s">
        <v>224</v>
      </c>
      <c r="F13" s="73"/>
      <c r="G13" s="83"/>
      <c r="H13" s="40"/>
      <c r="I13" s="40"/>
      <c r="J13" s="40"/>
    </row>
    <row r="14" spans="1:10" ht="25.5">
      <c r="A14" s="63"/>
      <c r="B14" s="57"/>
      <c r="C14" s="28"/>
      <c r="D14" s="28"/>
      <c r="E14" s="71" t="s">
        <v>225</v>
      </c>
      <c r="F14" s="73"/>
      <c r="G14" s="28"/>
      <c r="H14" s="39"/>
      <c r="I14" s="39"/>
      <c r="J14" s="39"/>
    </row>
    <row r="15" spans="1:10">
      <c r="A15" s="88"/>
      <c r="B15" s="87"/>
      <c r="C15" s="89"/>
      <c r="D15" s="90"/>
      <c r="E15" s="129"/>
      <c r="F15" s="73"/>
      <c r="G15" s="29"/>
      <c r="H15" s="130"/>
      <c r="I15" s="130"/>
      <c r="J15" s="130"/>
    </row>
    <row r="16" spans="1:10" ht="25.5">
      <c r="A16" s="63">
        <f>MAX(A$1:A15)+1</f>
        <v>2</v>
      </c>
      <c r="B16" s="87"/>
      <c r="C16" s="64" t="s">
        <v>201</v>
      </c>
      <c r="D16" s="65"/>
      <c r="E16" s="66" t="s">
        <v>202</v>
      </c>
      <c r="F16" s="67"/>
      <c r="G16" s="68" t="s">
        <v>0</v>
      </c>
      <c r="H16" s="131">
        <v>141.66999999999999</v>
      </c>
      <c r="I16" s="308"/>
      <c r="J16" s="131">
        <f t="shared" si="0"/>
        <v>0</v>
      </c>
    </row>
    <row r="17" spans="1:10">
      <c r="A17" s="88"/>
      <c r="B17" s="87"/>
      <c r="C17" s="89"/>
      <c r="D17" s="90"/>
      <c r="E17" s="132" t="s">
        <v>226</v>
      </c>
      <c r="F17" s="73">
        <f>7.01*1.905</f>
        <v>13.35</v>
      </c>
      <c r="G17" s="29"/>
      <c r="H17" s="130"/>
      <c r="I17" s="130"/>
      <c r="J17" s="130"/>
    </row>
    <row r="18" spans="1:10">
      <c r="A18" s="88"/>
      <c r="B18" s="87"/>
      <c r="C18" s="89"/>
      <c r="D18" s="90"/>
      <c r="E18" s="132" t="s">
        <v>227</v>
      </c>
      <c r="F18" s="73">
        <f>49.26*2.4</f>
        <v>118.22</v>
      </c>
      <c r="G18" s="29"/>
      <c r="H18" s="130"/>
      <c r="I18" s="130"/>
      <c r="J18" s="130"/>
    </row>
    <row r="19" spans="1:10">
      <c r="A19" s="88"/>
      <c r="B19" s="87"/>
      <c r="C19" s="89"/>
      <c r="D19" s="90"/>
      <c r="E19" s="132" t="s">
        <v>228</v>
      </c>
      <c r="F19" s="73">
        <f>12.1*0.054</f>
        <v>0.65</v>
      </c>
      <c r="G19" s="29"/>
      <c r="H19" s="130"/>
      <c r="I19" s="130"/>
      <c r="J19" s="130"/>
    </row>
    <row r="20" spans="1:10">
      <c r="A20" s="88"/>
      <c r="B20" s="87"/>
      <c r="C20" s="89"/>
      <c r="D20" s="90"/>
      <c r="E20" s="132" t="s">
        <v>229</v>
      </c>
      <c r="F20" s="133">
        <f xml:space="preserve"> 41.2*0.102+41.25*0.127</f>
        <v>9.44</v>
      </c>
      <c r="G20" s="29"/>
      <c r="H20" s="130"/>
      <c r="I20" s="130"/>
      <c r="J20" s="130"/>
    </row>
    <row r="21" spans="1:10">
      <c r="A21" s="88"/>
      <c r="B21" s="87"/>
      <c r="C21" s="89"/>
      <c r="D21" s="90"/>
      <c r="E21" s="134" t="s">
        <v>230</v>
      </c>
      <c r="F21" s="73">
        <f>SUM(F17:F20)</f>
        <v>141.66</v>
      </c>
      <c r="G21" s="29"/>
      <c r="H21" s="130"/>
      <c r="I21" s="130"/>
      <c r="J21" s="130"/>
    </row>
    <row r="22" spans="1:10">
      <c r="A22" s="88"/>
      <c r="B22" s="87"/>
      <c r="C22" s="89"/>
      <c r="D22" s="90"/>
      <c r="E22" s="129"/>
      <c r="F22" s="73"/>
      <c r="G22" s="29"/>
      <c r="H22" s="130"/>
      <c r="I22" s="130"/>
      <c r="J22" s="130"/>
    </row>
    <row r="23" spans="1:10">
      <c r="A23" s="63">
        <f>MAX(A$1:A22)+1</f>
        <v>3</v>
      </c>
      <c r="B23" s="87"/>
      <c r="C23" s="64" t="s">
        <v>199</v>
      </c>
      <c r="D23" s="65"/>
      <c r="E23" s="66" t="s">
        <v>200</v>
      </c>
      <c r="F23" s="67"/>
      <c r="G23" s="68" t="s">
        <v>8</v>
      </c>
      <c r="H23" s="85">
        <v>52.14</v>
      </c>
      <c r="I23" s="307"/>
      <c r="J23" s="85">
        <f t="shared" si="0"/>
        <v>0</v>
      </c>
    </row>
    <row r="24" spans="1:10">
      <c r="A24" s="88"/>
      <c r="B24" s="87"/>
      <c r="C24" s="89"/>
      <c r="D24" s="90"/>
      <c r="E24" s="129" t="s">
        <v>231</v>
      </c>
      <c r="F24" s="125"/>
      <c r="G24" s="29"/>
      <c r="H24" s="130"/>
      <c r="I24" s="130"/>
      <c r="J24" s="130"/>
    </row>
    <row r="25" spans="1:10">
      <c r="A25" s="88"/>
      <c r="B25" s="87"/>
      <c r="C25" s="89"/>
      <c r="D25" s="90"/>
      <c r="E25" s="132" t="s">
        <v>232</v>
      </c>
      <c r="F25" s="73">
        <v>255.84</v>
      </c>
      <c r="G25" s="29"/>
      <c r="H25" s="130"/>
      <c r="I25" s="130"/>
      <c r="J25" s="130"/>
    </row>
    <row r="26" spans="1:10">
      <c r="A26" s="88"/>
      <c r="B26" s="87"/>
      <c r="C26" s="89"/>
      <c r="D26" s="90"/>
      <c r="E26" s="132" t="s">
        <v>233</v>
      </c>
      <c r="F26" s="73">
        <v>3.48</v>
      </c>
      <c r="G26" s="29"/>
      <c r="H26" s="130"/>
      <c r="I26" s="130"/>
      <c r="J26" s="130"/>
    </row>
    <row r="27" spans="1:10">
      <c r="A27" s="88"/>
      <c r="B27" s="87"/>
      <c r="C27" s="89"/>
      <c r="D27" s="90"/>
      <c r="E27" s="132" t="s">
        <v>234</v>
      </c>
      <c r="F27" s="133">
        <v>-207.18</v>
      </c>
      <c r="G27" s="29"/>
      <c r="H27" s="130"/>
      <c r="I27" s="130"/>
      <c r="J27" s="130"/>
    </row>
    <row r="28" spans="1:10">
      <c r="A28" s="88"/>
      <c r="B28" s="87"/>
      <c r="C28" s="89"/>
      <c r="D28" s="90"/>
      <c r="E28" s="134" t="s">
        <v>230</v>
      </c>
      <c r="F28" s="73">
        <f>SUM(F25:F27)</f>
        <v>52.14</v>
      </c>
      <c r="G28" s="29"/>
      <c r="H28" s="130"/>
      <c r="I28" s="130"/>
      <c r="J28" s="130"/>
    </row>
    <row r="29" spans="1:10">
      <c r="A29" s="88"/>
      <c r="B29" s="87"/>
      <c r="C29" s="89"/>
      <c r="D29" s="90"/>
      <c r="E29" s="134"/>
      <c r="F29" s="73"/>
      <c r="G29" s="29"/>
      <c r="H29" s="130"/>
      <c r="I29" s="130"/>
      <c r="J29" s="130"/>
    </row>
    <row r="30" spans="1:10">
      <c r="A30" s="88"/>
      <c r="B30" s="87"/>
      <c r="C30" s="89"/>
      <c r="D30" s="90"/>
      <c r="E30" s="134"/>
      <c r="F30" s="73"/>
      <c r="G30" s="29"/>
      <c r="H30" s="130"/>
      <c r="I30" s="130"/>
      <c r="J30" s="130"/>
    </row>
    <row r="31" spans="1:10" ht="15.75">
      <c r="A31" s="88"/>
      <c r="B31" s="57" t="s">
        <v>25</v>
      </c>
      <c r="C31" s="75"/>
      <c r="D31" s="76"/>
      <c r="E31" s="66" t="s">
        <v>26</v>
      </c>
      <c r="F31" s="73"/>
      <c r="G31" s="29"/>
      <c r="H31" s="130"/>
      <c r="I31" s="130"/>
      <c r="J31" s="130"/>
    </row>
    <row r="32" spans="1:10">
      <c r="A32" s="88"/>
      <c r="B32" s="87"/>
      <c r="C32" s="89"/>
      <c r="D32" s="90"/>
      <c r="E32" s="134"/>
      <c r="F32" s="73"/>
      <c r="G32" s="29"/>
      <c r="H32" s="130"/>
      <c r="I32" s="130"/>
      <c r="J32" s="130"/>
    </row>
    <row r="33" spans="1:10" ht="25.5">
      <c r="A33" s="63">
        <f>MAX(A$1:A32)+1</f>
        <v>4</v>
      </c>
      <c r="B33" s="87"/>
      <c r="C33" s="64" t="s">
        <v>235</v>
      </c>
      <c r="D33" s="65"/>
      <c r="E33" s="66" t="s">
        <v>236</v>
      </c>
      <c r="F33" s="67"/>
      <c r="G33" s="68" t="s">
        <v>8</v>
      </c>
      <c r="H33" s="131">
        <v>7.01</v>
      </c>
      <c r="I33" s="308"/>
      <c r="J33" s="131">
        <f t="shared" si="0"/>
        <v>0</v>
      </c>
    </row>
    <row r="34" spans="1:10">
      <c r="A34" s="88"/>
      <c r="B34" s="87"/>
      <c r="C34" s="64"/>
      <c r="D34" s="65"/>
      <c r="E34" s="129" t="s">
        <v>237</v>
      </c>
      <c r="F34" s="67"/>
      <c r="G34" s="68"/>
      <c r="H34" s="130"/>
      <c r="I34" s="130"/>
      <c r="J34" s="130"/>
    </row>
    <row r="35" spans="1:10" ht="38.25">
      <c r="A35" s="88"/>
      <c r="B35" s="87"/>
      <c r="C35" s="64"/>
      <c r="D35" s="65"/>
      <c r="E35" s="132" t="s">
        <v>238</v>
      </c>
      <c r="F35" s="73">
        <f xml:space="preserve"> 6.481*0.6*0.3+1.173*0.6*0.3*2+(1.8+1.5)*0.3*2.6</f>
        <v>4.16</v>
      </c>
      <c r="G35" s="68"/>
      <c r="H35" s="130"/>
      <c r="I35" s="130"/>
      <c r="J35" s="130"/>
    </row>
    <row r="36" spans="1:10" ht="38.25">
      <c r="A36" s="88"/>
      <c r="B36" s="87"/>
      <c r="C36" s="64"/>
      <c r="D36" s="65"/>
      <c r="E36" s="132" t="s">
        <v>239</v>
      </c>
      <c r="F36" s="133">
        <f xml:space="preserve"> 6.593*0.6*0.3+0.925*0.6*0.3*2+(1.2+0.5)*0.3*2.6</f>
        <v>2.85</v>
      </c>
      <c r="G36" s="68"/>
      <c r="H36" s="130"/>
      <c r="I36" s="130"/>
      <c r="J36" s="130"/>
    </row>
    <row r="37" spans="1:10">
      <c r="A37" s="88"/>
      <c r="B37" s="87"/>
      <c r="C37" s="64"/>
      <c r="D37" s="65"/>
      <c r="E37" s="134" t="s">
        <v>230</v>
      </c>
      <c r="F37" s="73">
        <f>SUM(F35:F36)</f>
        <v>7.01</v>
      </c>
      <c r="G37" s="68"/>
      <c r="H37" s="130"/>
      <c r="I37" s="130"/>
      <c r="J37" s="130"/>
    </row>
    <row r="38" spans="1:10">
      <c r="A38" s="88"/>
      <c r="B38" s="87"/>
      <c r="C38" s="64"/>
      <c r="D38" s="65"/>
      <c r="E38" s="66"/>
      <c r="F38" s="67"/>
      <c r="G38" s="68"/>
      <c r="H38" s="130"/>
      <c r="I38" s="130"/>
      <c r="J38" s="130"/>
    </row>
    <row r="39" spans="1:10" ht="25.5">
      <c r="A39" s="63">
        <f>MAX(A$1:A38)+1</f>
        <v>5</v>
      </c>
      <c r="B39" s="87"/>
      <c r="C39" s="64" t="s">
        <v>240</v>
      </c>
      <c r="D39" s="65"/>
      <c r="E39" s="66" t="s">
        <v>241</v>
      </c>
      <c r="F39" s="67"/>
      <c r="G39" s="68" t="s">
        <v>8</v>
      </c>
      <c r="H39" s="131">
        <v>17.86</v>
      </c>
      <c r="I39" s="308"/>
      <c r="J39" s="131">
        <f t="shared" si="0"/>
        <v>0</v>
      </c>
    </row>
    <row r="40" spans="1:10">
      <c r="A40" s="88"/>
      <c r="B40" s="87"/>
      <c r="C40" s="64"/>
      <c r="D40" s="65"/>
      <c r="E40" s="129" t="s">
        <v>237</v>
      </c>
      <c r="F40" s="67"/>
      <c r="G40" s="68"/>
      <c r="H40" s="130"/>
      <c r="I40" s="130"/>
      <c r="J40" s="130"/>
    </row>
    <row r="41" spans="1:10" ht="38.25">
      <c r="A41" s="88"/>
      <c r="B41" s="87"/>
      <c r="C41" s="64"/>
      <c r="D41" s="65"/>
      <c r="E41" s="132" t="s">
        <v>242</v>
      </c>
      <c r="F41" s="73">
        <f xml:space="preserve"> 5.881*0.6*1.173+6.481*0.5*0.52+(1.8+1.5)*0.5*2.6</f>
        <v>10.11</v>
      </c>
      <c r="G41" s="68"/>
      <c r="H41" s="130"/>
      <c r="I41" s="130"/>
      <c r="J41" s="130"/>
    </row>
    <row r="42" spans="1:10" ht="38.25">
      <c r="A42" s="88"/>
      <c r="B42" s="87"/>
      <c r="C42" s="64"/>
      <c r="D42" s="65"/>
      <c r="E42" s="132" t="s">
        <v>243</v>
      </c>
      <c r="F42" s="133">
        <f xml:space="preserve"> 5.993*0.6*0.925+6.593*0.5*0.67+(1.2+0.5)*0.5*2.6</f>
        <v>7.74</v>
      </c>
      <c r="G42" s="68"/>
      <c r="H42" s="130"/>
      <c r="I42" s="130"/>
      <c r="J42" s="130"/>
    </row>
    <row r="43" spans="1:10">
      <c r="A43" s="88"/>
      <c r="B43" s="87"/>
      <c r="C43" s="64"/>
      <c r="D43" s="65"/>
      <c r="E43" s="134" t="s">
        <v>230</v>
      </c>
      <c r="F43" s="73">
        <f>SUM(F41:F42)</f>
        <v>17.850000000000001</v>
      </c>
      <c r="G43" s="68"/>
      <c r="H43" s="130"/>
      <c r="I43" s="130"/>
      <c r="J43" s="130"/>
    </row>
    <row r="44" spans="1:10">
      <c r="A44" s="88"/>
      <c r="B44" s="87"/>
      <c r="C44" s="89"/>
      <c r="D44" s="90"/>
      <c r="E44" s="134"/>
      <c r="F44" s="73"/>
      <c r="G44" s="29"/>
      <c r="H44" s="130"/>
      <c r="I44" s="130"/>
      <c r="J44" s="130"/>
    </row>
    <row r="45" spans="1:10" ht="25.5">
      <c r="A45" s="63">
        <f>MAX(A$1:A44)+1</f>
        <v>6</v>
      </c>
      <c r="B45" s="87"/>
      <c r="C45" s="64" t="s">
        <v>244</v>
      </c>
      <c r="D45" s="65"/>
      <c r="E45" s="66" t="s">
        <v>245</v>
      </c>
      <c r="F45" s="67"/>
      <c r="G45" s="68" t="s">
        <v>8</v>
      </c>
      <c r="H45" s="131">
        <v>14.81</v>
      </c>
      <c r="I45" s="308"/>
      <c r="J45" s="131">
        <f t="shared" si="0"/>
        <v>0</v>
      </c>
    </row>
    <row r="46" spans="1:10">
      <c r="A46" s="88"/>
      <c r="B46" s="87"/>
      <c r="C46" s="64"/>
      <c r="D46" s="65"/>
      <c r="E46" s="132" t="s">
        <v>246</v>
      </c>
      <c r="F46" s="73">
        <f xml:space="preserve"> 0.275*7.9*5+0.25*7.9*2</f>
        <v>14.81</v>
      </c>
      <c r="G46" s="68"/>
      <c r="H46" s="131"/>
      <c r="I46" s="131"/>
      <c r="J46" s="131"/>
    </row>
    <row r="47" spans="1:10">
      <c r="A47" s="88"/>
      <c r="B47" s="87"/>
      <c r="C47" s="89"/>
      <c r="D47" s="90"/>
      <c r="E47" s="134"/>
      <c r="F47" s="73"/>
      <c r="G47" s="29"/>
      <c r="H47" s="131"/>
      <c r="I47" s="131"/>
      <c r="J47" s="131"/>
    </row>
    <row r="48" spans="1:10" ht="25.5">
      <c r="A48" s="63">
        <f>MAX(A$1:A47)+1</f>
        <v>7</v>
      </c>
      <c r="B48" s="87"/>
      <c r="C48" s="64" t="s">
        <v>247</v>
      </c>
      <c r="D48" s="65"/>
      <c r="E48" s="66" t="s">
        <v>248</v>
      </c>
      <c r="F48" s="67"/>
      <c r="G48" s="68" t="s">
        <v>8</v>
      </c>
      <c r="H48" s="131">
        <v>16.59</v>
      </c>
      <c r="I48" s="308"/>
      <c r="J48" s="131">
        <f t="shared" si="0"/>
        <v>0</v>
      </c>
    </row>
    <row r="49" spans="1:10">
      <c r="A49" s="88"/>
      <c r="B49" s="87"/>
      <c r="C49" s="89"/>
      <c r="D49" s="90"/>
      <c r="E49" s="132" t="s">
        <v>249</v>
      </c>
      <c r="F49" s="73">
        <f xml:space="preserve"> (2+2.2)/2*7.9</f>
        <v>16.59</v>
      </c>
      <c r="G49" s="29"/>
      <c r="H49" s="131"/>
      <c r="I49" s="131"/>
      <c r="J49" s="131"/>
    </row>
    <row r="50" spans="1:10">
      <c r="A50" s="88"/>
      <c r="B50" s="87"/>
      <c r="C50" s="89"/>
      <c r="D50" s="90"/>
      <c r="E50" s="134"/>
      <c r="F50" s="73"/>
      <c r="G50" s="29"/>
      <c r="H50" s="131"/>
      <c r="I50" s="131"/>
      <c r="J50" s="131"/>
    </row>
    <row r="51" spans="1:10" ht="38.25">
      <c r="A51" s="63">
        <f>MAX(A$1:A50)+1</f>
        <v>8</v>
      </c>
      <c r="B51" s="87"/>
      <c r="C51" s="64" t="s">
        <v>250</v>
      </c>
      <c r="D51" s="65"/>
      <c r="E51" s="66" t="s">
        <v>251</v>
      </c>
      <c r="F51" s="67"/>
      <c r="G51" s="68" t="s">
        <v>7</v>
      </c>
      <c r="H51" s="131">
        <v>20.7</v>
      </c>
      <c r="I51" s="308"/>
      <c r="J51" s="131">
        <f t="shared" si="0"/>
        <v>0</v>
      </c>
    </row>
    <row r="52" spans="1:10">
      <c r="A52" s="88"/>
      <c r="B52" s="87"/>
      <c r="C52" s="89"/>
      <c r="D52" s="90"/>
      <c r="E52" s="132" t="s">
        <v>252</v>
      </c>
      <c r="F52" s="73">
        <f xml:space="preserve"> 10.7+10</f>
        <v>20.7</v>
      </c>
      <c r="G52" s="29"/>
      <c r="H52" s="130"/>
      <c r="I52" s="130"/>
      <c r="J52" s="130"/>
    </row>
    <row r="53" spans="1:10">
      <c r="A53" s="88"/>
      <c r="B53" s="87"/>
      <c r="C53" s="89"/>
      <c r="D53" s="90"/>
      <c r="E53" s="134"/>
      <c r="F53" s="73"/>
      <c r="G53" s="29"/>
      <c r="H53" s="130"/>
      <c r="I53" s="130"/>
      <c r="J53" s="130"/>
    </row>
    <row r="54" spans="1:10">
      <c r="A54" s="63">
        <f>MAX(A$1:A53)+1</f>
        <v>9</v>
      </c>
      <c r="B54" s="87"/>
      <c r="C54" s="64" t="s">
        <v>35</v>
      </c>
      <c r="D54" s="65"/>
      <c r="E54" s="66" t="s">
        <v>36</v>
      </c>
      <c r="F54" s="67"/>
      <c r="G54" s="68" t="s">
        <v>0</v>
      </c>
      <c r="H54" s="85">
        <v>141.66999999999999</v>
      </c>
      <c r="I54" s="307"/>
      <c r="J54" s="85">
        <f t="shared" si="0"/>
        <v>0</v>
      </c>
    </row>
    <row r="55" spans="1:10">
      <c r="A55" s="88"/>
      <c r="B55" s="87"/>
      <c r="C55" s="102"/>
      <c r="D55" s="80" t="s">
        <v>37</v>
      </c>
      <c r="E55" s="81" t="s">
        <v>38</v>
      </c>
      <c r="F55" s="82"/>
      <c r="G55" s="83" t="s">
        <v>0</v>
      </c>
      <c r="H55" s="130">
        <v>141.66999999999999</v>
      </c>
      <c r="I55" s="130"/>
      <c r="J55" s="130"/>
    </row>
    <row r="56" spans="1:10">
      <c r="A56" s="88"/>
      <c r="B56" s="87"/>
      <c r="C56" s="102"/>
      <c r="D56" s="80"/>
      <c r="E56" s="132" t="s">
        <v>253</v>
      </c>
      <c r="F56" s="82"/>
      <c r="G56" s="83"/>
      <c r="H56" s="130"/>
      <c r="I56" s="130"/>
      <c r="J56" s="130"/>
    </row>
    <row r="57" spans="1:10">
      <c r="A57" s="88"/>
      <c r="B57" s="87"/>
      <c r="C57" s="102"/>
      <c r="D57" s="80"/>
      <c r="E57" s="132" t="s">
        <v>226</v>
      </c>
      <c r="F57" s="73">
        <f>7.01*1.905</f>
        <v>13.35</v>
      </c>
      <c r="G57" s="83"/>
      <c r="H57" s="130"/>
      <c r="I57" s="130"/>
      <c r="J57" s="130"/>
    </row>
    <row r="58" spans="1:10">
      <c r="A58" s="88"/>
      <c r="B58" s="87"/>
      <c r="C58" s="102"/>
      <c r="D58" s="80"/>
      <c r="E58" s="132" t="s">
        <v>227</v>
      </c>
      <c r="F58" s="73">
        <f>49.26*2.4</f>
        <v>118.22</v>
      </c>
      <c r="G58" s="83"/>
      <c r="H58" s="130"/>
      <c r="I58" s="130"/>
      <c r="J58" s="130"/>
    </row>
    <row r="59" spans="1:10">
      <c r="A59" s="88"/>
      <c r="B59" s="87"/>
      <c r="C59" s="102"/>
      <c r="D59" s="80"/>
      <c r="E59" s="132" t="s">
        <v>228</v>
      </c>
      <c r="F59" s="73">
        <f>12.1*0.054</f>
        <v>0.65</v>
      </c>
      <c r="G59" s="83"/>
      <c r="H59" s="130"/>
      <c r="I59" s="130"/>
      <c r="J59" s="130"/>
    </row>
    <row r="60" spans="1:10">
      <c r="A60" s="88"/>
      <c r="B60" s="87"/>
      <c r="C60" s="102"/>
      <c r="D60" s="80"/>
      <c r="E60" s="132" t="s">
        <v>229</v>
      </c>
      <c r="F60" s="133">
        <f xml:space="preserve"> 41.2*0.102+41.25*0.127</f>
        <v>9.44</v>
      </c>
      <c r="G60" s="83"/>
      <c r="H60" s="130"/>
      <c r="I60" s="130"/>
      <c r="J60" s="130"/>
    </row>
    <row r="61" spans="1:10">
      <c r="A61" s="88"/>
      <c r="B61" s="87"/>
      <c r="C61" s="102"/>
      <c r="D61" s="80"/>
      <c r="E61" s="134" t="s">
        <v>230</v>
      </c>
      <c r="F61" s="73">
        <f>SUM(F57:F60)</f>
        <v>141.66</v>
      </c>
      <c r="G61" s="83"/>
      <c r="H61" s="130"/>
      <c r="I61" s="130"/>
      <c r="J61" s="130"/>
    </row>
    <row r="62" spans="1:10">
      <c r="A62" s="88"/>
      <c r="B62" s="87"/>
      <c r="C62" s="89"/>
      <c r="D62" s="90"/>
      <c r="E62" s="134"/>
      <c r="F62" s="73"/>
      <c r="G62" s="29"/>
      <c r="H62" s="130"/>
      <c r="I62" s="130"/>
      <c r="J62" s="130"/>
    </row>
    <row r="63" spans="1:10" ht="25.5">
      <c r="A63" s="63">
        <f>MAX(A$1:A62)+1</f>
        <v>10</v>
      </c>
      <c r="B63" s="87"/>
      <c r="C63" s="64" t="s">
        <v>39</v>
      </c>
      <c r="D63" s="65"/>
      <c r="E63" s="66" t="s">
        <v>40</v>
      </c>
      <c r="F63" s="67"/>
      <c r="G63" s="68" t="s">
        <v>2</v>
      </c>
      <c r="H63" s="85">
        <v>82.4</v>
      </c>
      <c r="I63" s="307"/>
      <c r="J63" s="85">
        <f t="shared" si="0"/>
        <v>0</v>
      </c>
    </row>
    <row r="64" spans="1:10" ht="25.5">
      <c r="A64" s="88"/>
      <c r="B64" s="87"/>
      <c r="C64" s="64"/>
      <c r="D64" s="80" t="s">
        <v>43</v>
      </c>
      <c r="E64" s="81" t="s">
        <v>44</v>
      </c>
      <c r="F64" s="82"/>
      <c r="G64" s="83" t="s">
        <v>2</v>
      </c>
      <c r="H64" s="130">
        <v>41.2</v>
      </c>
      <c r="I64" s="130"/>
      <c r="J64" s="130"/>
    </row>
    <row r="65" spans="1:10">
      <c r="A65" s="88"/>
      <c r="B65" s="87"/>
      <c r="C65" s="64"/>
      <c r="D65" s="80"/>
      <c r="E65" s="132" t="s">
        <v>254</v>
      </c>
      <c r="F65" s="33">
        <v>41.2</v>
      </c>
      <c r="G65" s="83"/>
      <c r="H65" s="130"/>
      <c r="I65" s="130"/>
      <c r="J65" s="130"/>
    </row>
    <row r="66" spans="1:10" ht="25.5">
      <c r="A66" s="88"/>
      <c r="B66" s="87"/>
      <c r="C66" s="64"/>
      <c r="D66" s="80" t="s">
        <v>45</v>
      </c>
      <c r="E66" s="81" t="s">
        <v>46</v>
      </c>
      <c r="F66" s="82"/>
      <c r="G66" s="83" t="s">
        <v>2</v>
      </c>
      <c r="H66" s="130">
        <v>41.2</v>
      </c>
      <c r="I66" s="130"/>
      <c r="J66" s="130"/>
    </row>
    <row r="67" spans="1:10">
      <c r="A67" s="88"/>
      <c r="B67" s="87"/>
      <c r="C67" s="64"/>
      <c r="D67" s="65"/>
      <c r="E67" s="132" t="s">
        <v>254</v>
      </c>
      <c r="F67" s="33">
        <v>41.2</v>
      </c>
      <c r="G67" s="68"/>
      <c r="H67" s="130"/>
      <c r="I67" s="130"/>
      <c r="J67" s="130"/>
    </row>
    <row r="68" spans="1:10">
      <c r="A68" s="88"/>
      <c r="B68" s="87"/>
      <c r="C68" s="64"/>
      <c r="D68" s="65"/>
      <c r="E68" s="66"/>
      <c r="F68" s="67"/>
      <c r="G68" s="68"/>
      <c r="H68" s="130"/>
      <c r="I68" s="130"/>
      <c r="J68" s="130"/>
    </row>
    <row r="69" spans="1:10">
      <c r="A69" s="63"/>
      <c r="B69" s="84"/>
      <c r="C69" s="93"/>
      <c r="D69" s="93"/>
      <c r="E69" s="135"/>
      <c r="F69" s="136"/>
      <c r="G69" s="28"/>
      <c r="H69" s="131"/>
      <c r="I69" s="131"/>
      <c r="J69" s="131"/>
    </row>
    <row r="70" spans="1:10">
      <c r="A70" s="63"/>
      <c r="B70" s="54" t="s">
        <v>83</v>
      </c>
      <c r="C70" s="107"/>
      <c r="D70" s="65"/>
      <c r="E70" s="66" t="s">
        <v>84</v>
      </c>
      <c r="F70" s="137"/>
      <c r="G70" s="68"/>
      <c r="H70" s="138"/>
      <c r="I70" s="138"/>
      <c r="J70" s="138"/>
    </row>
    <row r="71" spans="1:10">
      <c r="A71" s="63"/>
      <c r="B71" s="28"/>
      <c r="C71" s="28"/>
      <c r="D71" s="28"/>
      <c r="E71" s="139"/>
      <c r="F71" s="140"/>
      <c r="G71" s="28"/>
      <c r="H71" s="21"/>
      <c r="I71" s="21"/>
      <c r="J71" s="21"/>
    </row>
    <row r="72" spans="1:10">
      <c r="A72" s="63">
        <f>MAX(A$1:A71)+1</f>
        <v>11</v>
      </c>
      <c r="B72" s="87"/>
      <c r="C72" s="64" t="s">
        <v>255</v>
      </c>
      <c r="D72" s="65"/>
      <c r="E72" s="66" t="s">
        <v>256</v>
      </c>
      <c r="F72" s="67"/>
      <c r="G72" s="68" t="s">
        <v>8</v>
      </c>
      <c r="H72" s="131">
        <v>255.84</v>
      </c>
      <c r="I72" s="308"/>
      <c r="J72" s="131">
        <f t="shared" ref="J72:J133" si="1">I72*H72</f>
        <v>0</v>
      </c>
    </row>
    <row r="73" spans="1:10">
      <c r="A73" s="88"/>
      <c r="B73" s="87"/>
      <c r="C73" s="89"/>
      <c r="D73" s="80" t="s">
        <v>257</v>
      </c>
      <c r="E73" s="81" t="s">
        <v>258</v>
      </c>
      <c r="F73" s="82"/>
      <c r="G73" s="83" t="s">
        <v>8</v>
      </c>
      <c r="H73" s="130">
        <v>255.84</v>
      </c>
      <c r="I73" s="130"/>
      <c r="J73" s="130"/>
    </row>
    <row r="74" spans="1:10" ht="25.5">
      <c r="A74" s="88"/>
      <c r="B74" s="87"/>
      <c r="C74" s="89"/>
      <c r="D74" s="80"/>
      <c r="E74" s="132" t="s">
        <v>259</v>
      </c>
      <c r="F74" s="33">
        <f xml:space="preserve"> (8+43)/2*2.65+(8.6+46.9)/2*2.6-(2.57+1.33)</f>
        <v>135.83000000000001</v>
      </c>
      <c r="G74" s="83"/>
      <c r="H74" s="130"/>
      <c r="I74" s="130"/>
      <c r="J74" s="130"/>
    </row>
    <row r="75" spans="1:10" ht="25.5">
      <c r="A75" s="88"/>
      <c r="B75" s="87"/>
      <c r="C75" s="89"/>
      <c r="D75" s="90"/>
      <c r="E75" s="132" t="s">
        <v>260</v>
      </c>
      <c r="F75" s="133">
        <f xml:space="preserve"> (7.5+34.8)/2*2.3+(7+39.3)/2*2.55-(4.29+2.21)</f>
        <v>101.18</v>
      </c>
      <c r="G75" s="29"/>
      <c r="H75" s="130"/>
      <c r="I75" s="130"/>
      <c r="J75" s="130"/>
    </row>
    <row r="76" spans="1:10">
      <c r="A76" s="88"/>
      <c r="B76" s="87"/>
      <c r="C76" s="89"/>
      <c r="D76" s="90"/>
      <c r="E76" s="134" t="s">
        <v>230</v>
      </c>
      <c r="F76" s="73">
        <f>SUM(F74:F75)</f>
        <v>237.01</v>
      </c>
      <c r="G76" s="29"/>
      <c r="H76" s="130"/>
      <c r="I76" s="130"/>
      <c r="J76" s="130"/>
    </row>
    <row r="77" spans="1:10">
      <c r="A77" s="88"/>
      <c r="B77" s="87"/>
      <c r="C77" s="89"/>
      <c r="D77" s="90"/>
      <c r="E77" s="132" t="s">
        <v>261</v>
      </c>
      <c r="F77" s="133">
        <f xml:space="preserve"> (23.3*0.7)+(7.23*0.7*0.5)</f>
        <v>18.84</v>
      </c>
      <c r="G77" s="29"/>
      <c r="H77" s="130"/>
      <c r="I77" s="130"/>
      <c r="J77" s="130"/>
    </row>
    <row r="78" spans="1:10">
      <c r="A78" s="88"/>
      <c r="B78" s="87"/>
      <c r="C78" s="89"/>
      <c r="D78" s="90"/>
      <c r="E78" s="141" t="s">
        <v>230</v>
      </c>
      <c r="F78" s="142">
        <f>SUM(F76:F77)</f>
        <v>255.85</v>
      </c>
      <c r="G78" s="29"/>
      <c r="H78" s="130"/>
      <c r="I78" s="130"/>
      <c r="J78" s="130"/>
    </row>
    <row r="79" spans="1:10">
      <c r="A79" s="88"/>
      <c r="B79" s="87"/>
      <c r="C79" s="89"/>
      <c r="D79" s="90"/>
      <c r="E79" s="129"/>
      <c r="F79" s="73"/>
      <c r="G79" s="29"/>
      <c r="H79" s="130"/>
      <c r="I79" s="130"/>
      <c r="J79" s="130"/>
    </row>
    <row r="80" spans="1:10">
      <c r="A80" s="63">
        <f>MAX(A$1:A79)+1</f>
        <v>12</v>
      </c>
      <c r="B80" s="87"/>
      <c r="C80" s="64" t="s">
        <v>262</v>
      </c>
      <c r="D80" s="65"/>
      <c r="E80" s="66" t="s">
        <v>263</v>
      </c>
      <c r="F80" s="67"/>
      <c r="G80" s="68" t="s">
        <v>8</v>
      </c>
      <c r="H80" s="131">
        <v>3.48</v>
      </c>
      <c r="I80" s="308"/>
      <c r="J80" s="131">
        <f t="shared" si="1"/>
        <v>0</v>
      </c>
    </row>
    <row r="81" spans="1:10">
      <c r="A81" s="88"/>
      <c r="B81" s="87"/>
      <c r="C81" s="89"/>
      <c r="D81" s="80" t="s">
        <v>264</v>
      </c>
      <c r="E81" s="81" t="s">
        <v>265</v>
      </c>
      <c r="F81" s="82"/>
      <c r="G81" s="83" t="s">
        <v>8</v>
      </c>
      <c r="H81" s="130">
        <v>3.48</v>
      </c>
      <c r="I81" s="130"/>
      <c r="J81" s="130"/>
    </row>
    <row r="82" spans="1:10">
      <c r="A82" s="88"/>
      <c r="B82" s="87"/>
      <c r="C82" s="89"/>
      <c r="D82" s="90"/>
      <c r="E82" s="132" t="s">
        <v>266</v>
      </c>
      <c r="F82" s="33">
        <f xml:space="preserve"> 1.4*0.6*2</f>
        <v>1.68</v>
      </c>
      <c r="G82" s="29"/>
      <c r="H82" s="130"/>
      <c r="I82" s="130"/>
      <c r="J82" s="130"/>
    </row>
    <row r="83" spans="1:10">
      <c r="A83" s="88"/>
      <c r="B83" s="87"/>
      <c r="C83" s="89"/>
      <c r="D83" s="90"/>
      <c r="E83" s="132" t="s">
        <v>267</v>
      </c>
      <c r="F83" s="34">
        <f xml:space="preserve"> 0.3*0.3*2*10</f>
        <v>1.8</v>
      </c>
      <c r="G83" s="29"/>
      <c r="H83" s="130"/>
      <c r="I83" s="130"/>
      <c r="J83" s="130"/>
    </row>
    <row r="84" spans="1:10">
      <c r="A84" s="88"/>
      <c r="B84" s="87"/>
      <c r="C84" s="89"/>
      <c r="D84" s="90"/>
      <c r="E84" s="134" t="s">
        <v>230</v>
      </c>
      <c r="F84" s="33">
        <f>SUM(F82:F83)</f>
        <v>3.48</v>
      </c>
      <c r="G84" s="29"/>
      <c r="H84" s="130"/>
      <c r="I84" s="130"/>
      <c r="J84" s="130"/>
    </row>
    <row r="85" spans="1:10">
      <c r="A85" s="88"/>
      <c r="B85" s="87"/>
      <c r="C85" s="89"/>
      <c r="D85" s="90"/>
      <c r="E85" s="134"/>
      <c r="F85" s="73"/>
      <c r="G85" s="29"/>
      <c r="H85" s="130"/>
      <c r="I85" s="130"/>
      <c r="J85" s="130"/>
    </row>
    <row r="86" spans="1:10">
      <c r="A86" s="63">
        <f>MAX(A$1:A85)+1</f>
        <v>13</v>
      </c>
      <c r="B86" s="87"/>
      <c r="C86" s="64" t="s">
        <v>5</v>
      </c>
      <c r="D86" s="65"/>
      <c r="E86" s="66" t="s">
        <v>3</v>
      </c>
      <c r="F86" s="67"/>
      <c r="G86" s="68" t="s">
        <v>8</v>
      </c>
      <c r="H86" s="131">
        <v>18.010000000000002</v>
      </c>
      <c r="I86" s="308"/>
      <c r="J86" s="131">
        <f t="shared" si="1"/>
        <v>0</v>
      </c>
    </row>
    <row r="87" spans="1:10" ht="25.5">
      <c r="A87" s="88"/>
      <c r="B87" s="87"/>
      <c r="C87" s="89"/>
      <c r="D87" s="80" t="s">
        <v>6</v>
      </c>
      <c r="E87" s="81" t="s">
        <v>4</v>
      </c>
      <c r="F87" s="82"/>
      <c r="G87" s="83" t="s">
        <v>8</v>
      </c>
      <c r="H87" s="130">
        <v>18.010000000000002</v>
      </c>
      <c r="I87" s="130"/>
      <c r="J87" s="130"/>
    </row>
    <row r="88" spans="1:10">
      <c r="A88" s="88"/>
      <c r="B88" s="87"/>
      <c r="C88" s="89"/>
      <c r="D88" s="80"/>
      <c r="E88" s="129" t="s">
        <v>268</v>
      </c>
      <c r="F88" s="82"/>
      <c r="G88" s="83"/>
      <c r="H88" s="130"/>
      <c r="I88" s="130"/>
      <c r="J88" s="130"/>
    </row>
    <row r="89" spans="1:10">
      <c r="A89" s="88"/>
      <c r="B89" s="87"/>
      <c r="C89" s="89"/>
      <c r="D89" s="90"/>
      <c r="E89" s="132" t="s">
        <v>269</v>
      </c>
      <c r="F89" s="73">
        <f xml:space="preserve"> 1.3*6.55</f>
        <v>8.52</v>
      </c>
      <c r="G89" s="29"/>
      <c r="H89" s="130"/>
      <c r="I89" s="130"/>
      <c r="J89" s="130"/>
    </row>
    <row r="90" spans="1:10">
      <c r="A90" s="88"/>
      <c r="B90" s="87"/>
      <c r="C90" s="89"/>
      <c r="D90" s="90"/>
      <c r="E90" s="132" t="s">
        <v>270</v>
      </c>
      <c r="F90" s="133">
        <f xml:space="preserve"> 1.45*6.55</f>
        <v>9.5</v>
      </c>
      <c r="G90" s="29"/>
      <c r="H90" s="130"/>
      <c r="I90" s="130"/>
      <c r="J90" s="130"/>
    </row>
    <row r="91" spans="1:10">
      <c r="A91" s="88"/>
      <c r="B91" s="87"/>
      <c r="C91" s="89"/>
      <c r="D91" s="90"/>
      <c r="E91" s="134" t="s">
        <v>230</v>
      </c>
      <c r="F91" s="73">
        <f>SUM(F89:F90)</f>
        <v>18.02</v>
      </c>
      <c r="G91" s="29"/>
      <c r="H91" s="130"/>
      <c r="I91" s="130"/>
      <c r="J91" s="130"/>
    </row>
    <row r="92" spans="1:10">
      <c r="A92" s="88"/>
      <c r="B92" s="87"/>
      <c r="C92" s="89"/>
      <c r="D92" s="90"/>
      <c r="E92" s="134"/>
      <c r="F92" s="73"/>
      <c r="G92" s="29"/>
      <c r="H92" s="130"/>
      <c r="I92" s="130"/>
      <c r="J92" s="130"/>
    </row>
    <row r="93" spans="1:10">
      <c r="A93" s="88"/>
      <c r="B93" s="87"/>
      <c r="C93" s="89"/>
      <c r="D93" s="90"/>
      <c r="E93" s="71"/>
      <c r="F93" s="143"/>
      <c r="G93" s="29"/>
      <c r="H93" s="130"/>
      <c r="I93" s="130"/>
      <c r="J93" s="130"/>
    </row>
    <row r="94" spans="1:10">
      <c r="A94" s="63">
        <f>MAX(A$1:A93)+1</f>
        <v>14</v>
      </c>
      <c r="B94" s="87"/>
      <c r="C94" s="64" t="s">
        <v>271</v>
      </c>
      <c r="D94" s="65"/>
      <c r="E94" s="66" t="s">
        <v>272</v>
      </c>
      <c r="F94" s="67"/>
      <c r="G94" s="68" t="s">
        <v>8</v>
      </c>
      <c r="H94" s="131">
        <v>207.18</v>
      </c>
      <c r="I94" s="308"/>
      <c r="J94" s="131">
        <f t="shared" si="1"/>
        <v>0</v>
      </c>
    </row>
    <row r="95" spans="1:10">
      <c r="A95" s="88"/>
      <c r="B95" s="87"/>
      <c r="C95" s="89"/>
      <c r="D95" s="80" t="s">
        <v>273</v>
      </c>
      <c r="E95" s="81" t="s">
        <v>274</v>
      </c>
      <c r="F95" s="82"/>
      <c r="G95" s="83" t="s">
        <v>8</v>
      </c>
      <c r="H95" s="130">
        <v>207.18</v>
      </c>
      <c r="I95" s="130"/>
      <c r="J95" s="130"/>
    </row>
    <row r="96" spans="1:10">
      <c r="A96" s="88"/>
      <c r="B96" s="87"/>
      <c r="C96" s="89"/>
      <c r="D96" s="90"/>
      <c r="E96" s="129" t="s">
        <v>275</v>
      </c>
      <c r="F96" s="33"/>
      <c r="G96" s="29"/>
      <c r="H96" s="130"/>
      <c r="I96" s="130"/>
      <c r="J96" s="130"/>
    </row>
    <row r="97" spans="1:10">
      <c r="A97" s="88"/>
      <c r="B97" s="87"/>
      <c r="C97" s="89"/>
      <c r="D97" s="90"/>
      <c r="E97" s="132" t="s">
        <v>276</v>
      </c>
      <c r="F97" s="33">
        <f>135.83-11.14-10.28</f>
        <v>114.41</v>
      </c>
      <c r="G97" s="29"/>
      <c r="H97" s="130"/>
      <c r="I97" s="130"/>
      <c r="J97" s="130"/>
    </row>
    <row r="98" spans="1:10">
      <c r="A98" s="88"/>
      <c r="B98" s="87"/>
      <c r="C98" s="89"/>
      <c r="D98" s="90"/>
      <c r="E98" s="132" t="s">
        <v>277</v>
      </c>
      <c r="F98" s="34">
        <f>101.18-10.05-9.63</f>
        <v>81.5</v>
      </c>
      <c r="G98" s="29"/>
      <c r="H98" s="130"/>
      <c r="I98" s="130"/>
      <c r="J98" s="130"/>
    </row>
    <row r="99" spans="1:10">
      <c r="A99" s="88"/>
      <c r="B99" s="87"/>
      <c r="C99" s="89"/>
      <c r="D99" s="90"/>
      <c r="E99" s="134" t="s">
        <v>230</v>
      </c>
      <c r="F99" s="73">
        <f>SUM(F97:F98)</f>
        <v>195.91</v>
      </c>
      <c r="G99" s="29"/>
      <c r="H99" s="130"/>
      <c r="I99" s="130"/>
      <c r="J99" s="130"/>
    </row>
    <row r="100" spans="1:10">
      <c r="A100" s="88"/>
      <c r="B100" s="87"/>
      <c r="C100" s="89"/>
      <c r="D100" s="90"/>
      <c r="E100" s="132" t="s">
        <v>278</v>
      </c>
      <c r="F100" s="133">
        <f xml:space="preserve"> (12.5*0.7)+(7.2*0.7*0.5)</f>
        <v>11.27</v>
      </c>
      <c r="G100" s="29"/>
      <c r="H100" s="130"/>
      <c r="I100" s="130"/>
      <c r="J100" s="130"/>
    </row>
    <row r="101" spans="1:10">
      <c r="A101" s="88"/>
      <c r="B101" s="87"/>
      <c r="C101" s="89"/>
      <c r="D101" s="90"/>
      <c r="E101" s="141" t="s">
        <v>230</v>
      </c>
      <c r="F101" s="142">
        <f>SUM(F99:F100)</f>
        <v>207.18</v>
      </c>
      <c r="G101" s="29"/>
      <c r="H101" s="130"/>
      <c r="I101" s="130"/>
      <c r="J101" s="130"/>
    </row>
    <row r="102" spans="1:10">
      <c r="A102" s="88"/>
      <c r="B102" s="87"/>
      <c r="C102" s="89"/>
      <c r="D102" s="90"/>
      <c r="E102" s="141"/>
      <c r="F102" s="142"/>
      <c r="G102" s="29"/>
      <c r="H102" s="130"/>
      <c r="I102" s="130"/>
      <c r="J102" s="130"/>
    </row>
    <row r="103" spans="1:10">
      <c r="A103" s="103"/>
      <c r="B103" s="104"/>
      <c r="C103" s="105"/>
      <c r="D103" s="106"/>
      <c r="E103" s="111"/>
      <c r="F103" s="70"/>
      <c r="G103" s="29"/>
      <c r="H103" s="130"/>
      <c r="I103" s="130"/>
      <c r="J103" s="130"/>
    </row>
    <row r="104" spans="1:10">
      <c r="A104" s="88"/>
      <c r="B104" s="54" t="s">
        <v>173</v>
      </c>
      <c r="C104" s="107"/>
      <c r="D104" s="65"/>
      <c r="E104" s="108" t="s">
        <v>174</v>
      </c>
      <c r="F104" s="143"/>
      <c r="G104" s="83"/>
      <c r="H104" s="130"/>
      <c r="I104" s="130"/>
      <c r="J104" s="130"/>
    </row>
    <row r="105" spans="1:10">
      <c r="A105" s="88"/>
      <c r="B105" s="87"/>
      <c r="C105" s="102"/>
      <c r="D105" s="80"/>
      <c r="E105" s="132"/>
      <c r="F105" s="143"/>
      <c r="G105" s="83"/>
      <c r="H105" s="130"/>
      <c r="I105" s="130"/>
      <c r="J105" s="130"/>
    </row>
    <row r="106" spans="1:10">
      <c r="A106" s="63">
        <f>MAX(A$1:A105)+1</f>
        <v>15</v>
      </c>
      <c r="B106" s="87"/>
      <c r="C106" s="64" t="s">
        <v>191</v>
      </c>
      <c r="D106" s="65"/>
      <c r="E106" s="66" t="s">
        <v>192</v>
      </c>
      <c r="F106" s="67"/>
      <c r="G106" s="68" t="s">
        <v>8</v>
      </c>
      <c r="H106" s="131">
        <v>414.36</v>
      </c>
      <c r="I106" s="308"/>
      <c r="J106" s="131">
        <f t="shared" si="1"/>
        <v>0</v>
      </c>
    </row>
    <row r="107" spans="1:10" ht="25.5">
      <c r="A107" s="88"/>
      <c r="B107" s="87"/>
      <c r="C107" s="102"/>
      <c r="D107" s="80" t="s">
        <v>193</v>
      </c>
      <c r="E107" s="81" t="s">
        <v>194</v>
      </c>
      <c r="F107" s="82"/>
      <c r="G107" s="83" t="s">
        <v>8</v>
      </c>
      <c r="H107" s="130">
        <v>414.36</v>
      </c>
      <c r="I107" s="130"/>
      <c r="J107" s="130"/>
    </row>
    <row r="108" spans="1:10" ht="25.5">
      <c r="A108" s="88"/>
      <c r="B108" s="87"/>
      <c r="C108" s="89"/>
      <c r="D108" s="80"/>
      <c r="E108" s="129" t="s">
        <v>279</v>
      </c>
      <c r="F108" s="33"/>
      <c r="G108" s="83"/>
      <c r="H108" s="130"/>
      <c r="I108" s="130"/>
      <c r="J108" s="130"/>
    </row>
    <row r="109" spans="1:10">
      <c r="A109" s="88"/>
      <c r="B109" s="87"/>
      <c r="C109" s="89"/>
      <c r="D109" s="80"/>
      <c r="E109" s="132" t="s">
        <v>280</v>
      </c>
      <c r="F109" s="143">
        <v>195.91</v>
      </c>
      <c r="G109" s="83"/>
      <c r="H109" s="130"/>
      <c r="I109" s="130"/>
      <c r="J109" s="130"/>
    </row>
    <row r="110" spans="1:10">
      <c r="A110" s="88"/>
      <c r="B110" s="87"/>
      <c r="C110" s="89"/>
      <c r="D110" s="80"/>
      <c r="E110" s="132" t="s">
        <v>281</v>
      </c>
      <c r="F110" s="144">
        <v>11.27</v>
      </c>
      <c r="G110" s="83"/>
      <c r="H110" s="130"/>
      <c r="I110" s="130"/>
      <c r="J110" s="130"/>
    </row>
    <row r="111" spans="1:10">
      <c r="A111" s="88"/>
      <c r="B111" s="87"/>
      <c r="C111" s="89"/>
      <c r="D111" s="80"/>
      <c r="E111" s="134" t="s">
        <v>282</v>
      </c>
      <c r="F111" s="73">
        <f>SUM(F109:F110)</f>
        <v>207.18</v>
      </c>
      <c r="G111" s="83"/>
      <c r="H111" s="130"/>
      <c r="I111" s="130"/>
      <c r="J111" s="130"/>
    </row>
    <row r="112" spans="1:10">
      <c r="A112" s="88"/>
      <c r="B112" s="87"/>
      <c r="C112" s="89"/>
      <c r="D112" s="80"/>
      <c r="E112" s="134" t="s">
        <v>283</v>
      </c>
      <c r="F112" s="133">
        <v>207.18</v>
      </c>
      <c r="G112" s="83"/>
      <c r="H112" s="130"/>
      <c r="I112" s="130"/>
      <c r="J112" s="130"/>
    </row>
    <row r="113" spans="1:10">
      <c r="A113" s="88"/>
      <c r="B113" s="87"/>
      <c r="C113" s="89"/>
      <c r="D113" s="80"/>
      <c r="E113" s="141" t="s">
        <v>230</v>
      </c>
      <c r="F113" s="142">
        <f>SUM(F111:F112)</f>
        <v>414.36</v>
      </c>
      <c r="G113" s="83"/>
      <c r="H113" s="130"/>
      <c r="I113" s="130"/>
      <c r="J113" s="130"/>
    </row>
    <row r="114" spans="1:10">
      <c r="A114" s="88"/>
      <c r="B114" s="87"/>
      <c r="C114" s="89"/>
      <c r="D114" s="80"/>
      <c r="E114" s="132"/>
      <c r="F114" s="143"/>
      <c r="G114" s="83"/>
      <c r="H114" s="130"/>
      <c r="I114" s="130"/>
      <c r="J114" s="130"/>
    </row>
    <row r="115" spans="1:10">
      <c r="A115" s="63">
        <f>MAX(A$1:A114)+1</f>
        <v>16</v>
      </c>
      <c r="B115" s="87"/>
      <c r="C115" s="64" t="s">
        <v>175</v>
      </c>
      <c r="D115" s="65"/>
      <c r="E115" s="66" t="s">
        <v>176</v>
      </c>
      <c r="F115" s="67"/>
      <c r="G115" s="68" t="s">
        <v>8</v>
      </c>
      <c r="H115" s="131">
        <v>52.14</v>
      </c>
      <c r="I115" s="308"/>
      <c r="J115" s="131">
        <f t="shared" si="1"/>
        <v>0</v>
      </c>
    </row>
    <row r="116" spans="1:10" ht="25.5">
      <c r="A116" s="88"/>
      <c r="B116" s="87"/>
      <c r="C116" s="102"/>
      <c r="D116" s="80" t="s">
        <v>177</v>
      </c>
      <c r="E116" s="81" t="s">
        <v>178</v>
      </c>
      <c r="F116" s="82"/>
      <c r="G116" s="83" t="s">
        <v>8</v>
      </c>
      <c r="H116" s="130">
        <v>52.14</v>
      </c>
      <c r="I116" s="130"/>
      <c r="J116" s="130"/>
    </row>
    <row r="117" spans="1:10">
      <c r="A117" s="88"/>
      <c r="B117" s="87"/>
      <c r="C117" s="102"/>
      <c r="D117" s="80"/>
      <c r="E117" s="129" t="s">
        <v>284</v>
      </c>
      <c r="F117" s="125"/>
      <c r="G117" s="83"/>
      <c r="H117" s="130"/>
      <c r="I117" s="130"/>
      <c r="J117" s="130"/>
    </row>
    <row r="118" spans="1:10">
      <c r="A118" s="88"/>
      <c r="B118" s="87"/>
      <c r="C118" s="102"/>
      <c r="D118" s="80"/>
      <c r="E118" s="132" t="s">
        <v>232</v>
      </c>
      <c r="F118" s="73">
        <v>255.84</v>
      </c>
      <c r="G118" s="83"/>
      <c r="H118" s="130"/>
      <c r="I118" s="130"/>
      <c r="J118" s="130"/>
    </row>
    <row r="119" spans="1:10">
      <c r="A119" s="88"/>
      <c r="B119" s="87"/>
      <c r="C119" s="89"/>
      <c r="D119" s="80"/>
      <c r="E119" s="132" t="s">
        <v>233</v>
      </c>
      <c r="F119" s="73">
        <v>3.48</v>
      </c>
      <c r="G119" s="83"/>
      <c r="H119" s="130"/>
      <c r="I119" s="130"/>
      <c r="J119" s="130"/>
    </row>
    <row r="120" spans="1:10">
      <c r="A120" s="88"/>
      <c r="B120" s="87"/>
      <c r="C120" s="89"/>
      <c r="D120" s="80"/>
      <c r="E120" s="132" t="s">
        <v>234</v>
      </c>
      <c r="F120" s="133">
        <v>-207.18</v>
      </c>
      <c r="G120" s="83"/>
      <c r="H120" s="130"/>
      <c r="I120" s="130"/>
      <c r="J120" s="130"/>
    </row>
    <row r="121" spans="1:10">
      <c r="A121" s="88"/>
      <c r="B121" s="87"/>
      <c r="C121" s="89"/>
      <c r="D121" s="80"/>
      <c r="E121" s="134" t="s">
        <v>230</v>
      </c>
      <c r="F121" s="73">
        <f>SUM(F118:F120)</f>
        <v>52.14</v>
      </c>
      <c r="G121" s="83"/>
      <c r="H121" s="130"/>
      <c r="I121" s="130"/>
      <c r="J121" s="130"/>
    </row>
    <row r="122" spans="1:10">
      <c r="A122" s="88"/>
      <c r="B122" s="87"/>
      <c r="C122" s="89"/>
      <c r="D122" s="90"/>
      <c r="E122" s="71"/>
      <c r="F122" s="143"/>
      <c r="G122" s="29"/>
      <c r="H122" s="130"/>
      <c r="I122" s="130"/>
      <c r="J122" s="130"/>
    </row>
    <row r="123" spans="1:10">
      <c r="A123" s="63">
        <f>MAX(A$1:A122)+1</f>
        <v>17</v>
      </c>
      <c r="B123" s="87"/>
      <c r="C123" s="64" t="s">
        <v>195</v>
      </c>
      <c r="D123" s="65"/>
      <c r="E123" s="66" t="s">
        <v>196</v>
      </c>
      <c r="F123" s="67"/>
      <c r="G123" s="68" t="s">
        <v>8</v>
      </c>
      <c r="H123" s="131">
        <v>207.18</v>
      </c>
      <c r="I123" s="308"/>
      <c r="J123" s="131">
        <f t="shared" si="1"/>
        <v>0</v>
      </c>
    </row>
    <row r="124" spans="1:10" ht="25.5">
      <c r="A124" s="88"/>
      <c r="B124" s="87"/>
      <c r="C124" s="102"/>
      <c r="D124" s="80" t="s">
        <v>197</v>
      </c>
      <c r="E124" s="81" t="s">
        <v>198</v>
      </c>
      <c r="F124" s="82"/>
      <c r="G124" s="83" t="s">
        <v>8</v>
      </c>
      <c r="H124" s="130">
        <v>207.18</v>
      </c>
      <c r="I124" s="130"/>
      <c r="J124" s="130"/>
    </row>
    <row r="125" spans="1:10">
      <c r="A125" s="88"/>
      <c r="B125" s="87"/>
      <c r="C125" s="102"/>
      <c r="D125" s="80"/>
      <c r="E125" s="129" t="s">
        <v>285</v>
      </c>
      <c r="F125" s="143"/>
      <c r="G125" s="83"/>
      <c r="H125" s="130"/>
      <c r="I125" s="130"/>
      <c r="J125" s="130"/>
    </row>
    <row r="126" spans="1:10">
      <c r="A126" s="88"/>
      <c r="B126" s="87"/>
      <c r="C126" s="102"/>
      <c r="D126" s="80"/>
      <c r="E126" s="132" t="s">
        <v>280</v>
      </c>
      <c r="F126" s="143">
        <v>195.91</v>
      </c>
      <c r="G126" s="83"/>
      <c r="H126" s="130"/>
      <c r="I126" s="130"/>
      <c r="J126" s="130"/>
    </row>
    <row r="127" spans="1:10">
      <c r="A127" s="88"/>
      <c r="B127" s="87"/>
      <c r="C127" s="102"/>
      <c r="D127" s="80"/>
      <c r="E127" s="132" t="s">
        <v>281</v>
      </c>
      <c r="F127" s="144">
        <v>11.27</v>
      </c>
      <c r="G127" s="83"/>
      <c r="H127" s="130"/>
      <c r="I127" s="130"/>
      <c r="J127" s="130"/>
    </row>
    <row r="128" spans="1:10">
      <c r="A128" s="88"/>
      <c r="B128" s="87"/>
      <c r="C128" s="102"/>
      <c r="D128" s="80"/>
      <c r="E128" s="134" t="s">
        <v>230</v>
      </c>
      <c r="F128" s="73">
        <f>SUM(F126:F127)</f>
        <v>207.18</v>
      </c>
      <c r="G128" s="83"/>
      <c r="H128" s="130"/>
      <c r="I128" s="130"/>
      <c r="J128" s="130"/>
    </row>
    <row r="129" spans="1:10">
      <c r="A129" s="103"/>
      <c r="B129" s="104"/>
      <c r="C129" s="105"/>
      <c r="D129" s="106"/>
      <c r="E129" s="111"/>
      <c r="F129" s="70"/>
      <c r="G129" s="29"/>
      <c r="H129" s="130"/>
      <c r="I129" s="130"/>
      <c r="J129" s="130"/>
    </row>
    <row r="130" spans="1:10">
      <c r="A130" s="103"/>
      <c r="B130" s="104"/>
      <c r="C130" s="105"/>
      <c r="D130" s="106"/>
      <c r="E130" s="111"/>
      <c r="F130" s="70"/>
      <c r="G130" s="29"/>
      <c r="H130" s="130"/>
      <c r="I130" s="130"/>
      <c r="J130" s="130"/>
    </row>
    <row r="131" spans="1:10" ht="15.75">
      <c r="A131" s="43"/>
      <c r="B131" s="54" t="s">
        <v>286</v>
      </c>
      <c r="C131" s="54"/>
      <c r="D131" s="65"/>
      <c r="E131" s="66" t="s">
        <v>287</v>
      </c>
      <c r="F131" s="145"/>
      <c r="G131" s="96"/>
      <c r="H131" s="138"/>
      <c r="I131" s="138"/>
      <c r="J131" s="138"/>
    </row>
    <row r="132" spans="1:10">
      <c r="A132" s="43"/>
      <c r="B132" s="54"/>
      <c r="C132" s="84"/>
      <c r="D132" s="54"/>
      <c r="E132" s="132"/>
      <c r="F132" s="137"/>
      <c r="G132" s="68"/>
      <c r="H132" s="86"/>
      <c r="I132" s="86"/>
      <c r="J132" s="86"/>
    </row>
    <row r="133" spans="1:10">
      <c r="A133" s="63">
        <f>MAX(A$1:A132)+1</f>
        <v>18</v>
      </c>
      <c r="B133" s="54"/>
      <c r="C133" s="64" t="s">
        <v>288</v>
      </c>
      <c r="D133" s="65"/>
      <c r="E133" s="66" t="s">
        <v>289</v>
      </c>
      <c r="F133" s="67"/>
      <c r="G133" s="68" t="s">
        <v>8</v>
      </c>
      <c r="H133" s="131">
        <v>9.01</v>
      </c>
      <c r="I133" s="308"/>
      <c r="J133" s="131">
        <f t="shared" si="1"/>
        <v>0</v>
      </c>
    </row>
    <row r="134" spans="1:10">
      <c r="A134" s="43"/>
      <c r="B134" s="54"/>
      <c r="C134" s="84"/>
      <c r="D134" s="146" t="s">
        <v>290</v>
      </c>
      <c r="E134" s="147" t="s">
        <v>291</v>
      </c>
      <c r="F134" s="148"/>
      <c r="G134" s="29" t="s">
        <v>8</v>
      </c>
      <c r="H134" s="130">
        <v>9.01</v>
      </c>
      <c r="I134" s="130"/>
      <c r="J134" s="130"/>
    </row>
    <row r="135" spans="1:10">
      <c r="A135" s="43"/>
      <c r="B135" s="54"/>
      <c r="C135" s="84"/>
      <c r="D135" s="146"/>
      <c r="E135" s="129" t="s">
        <v>292</v>
      </c>
      <c r="F135" s="148"/>
      <c r="G135" s="29"/>
      <c r="H135" s="130"/>
      <c r="I135" s="130"/>
      <c r="J135" s="130"/>
    </row>
    <row r="136" spans="1:10">
      <c r="A136" s="43"/>
      <c r="B136" s="54"/>
      <c r="C136" s="84"/>
      <c r="D136" s="54"/>
      <c r="E136" s="132" t="s">
        <v>293</v>
      </c>
      <c r="F136" s="33">
        <f xml:space="preserve"> (3.58+2.92)*0.7</f>
        <v>4.55</v>
      </c>
      <c r="G136" s="68"/>
      <c r="H136" s="86"/>
      <c r="I136" s="86"/>
      <c r="J136" s="86"/>
    </row>
    <row r="137" spans="1:10">
      <c r="A137" s="43"/>
      <c r="B137" s="54"/>
      <c r="C137" s="84"/>
      <c r="D137" s="54"/>
      <c r="E137" s="132" t="s">
        <v>294</v>
      </c>
      <c r="F137" s="34">
        <f xml:space="preserve"> (3.31+3.06)*0.7</f>
        <v>4.46</v>
      </c>
      <c r="G137" s="68"/>
      <c r="H137" s="86"/>
      <c r="I137" s="86"/>
      <c r="J137" s="86"/>
    </row>
    <row r="138" spans="1:10">
      <c r="A138" s="43"/>
      <c r="B138" s="54"/>
      <c r="C138" s="84"/>
      <c r="D138" s="54"/>
      <c r="E138" s="134" t="s">
        <v>230</v>
      </c>
      <c r="F138" s="73">
        <f>SUM(F130:F137)</f>
        <v>9.01</v>
      </c>
      <c r="G138" s="68"/>
      <c r="H138" s="86"/>
      <c r="I138" s="86"/>
      <c r="J138" s="86"/>
    </row>
    <row r="139" spans="1:10">
      <c r="A139" s="43"/>
      <c r="B139" s="54"/>
      <c r="C139" s="84"/>
      <c r="D139" s="54"/>
      <c r="E139" s="134"/>
      <c r="F139" s="73"/>
      <c r="G139" s="68"/>
      <c r="H139" s="86"/>
      <c r="I139" s="86"/>
      <c r="J139" s="86"/>
    </row>
    <row r="140" spans="1:10">
      <c r="A140" s="63">
        <f>MAX(A$1:A138)+1</f>
        <v>19</v>
      </c>
      <c r="B140" s="54"/>
      <c r="C140" s="64" t="s">
        <v>295</v>
      </c>
      <c r="D140" s="65"/>
      <c r="E140" s="66" t="s">
        <v>296</v>
      </c>
      <c r="F140" s="67"/>
      <c r="G140" s="68" t="s">
        <v>2</v>
      </c>
      <c r="H140" s="131">
        <v>18.62</v>
      </c>
      <c r="I140" s="308"/>
      <c r="J140" s="131">
        <f t="shared" ref="J140:J196" si="2">I140*H140</f>
        <v>0</v>
      </c>
    </row>
    <row r="141" spans="1:10">
      <c r="A141" s="43"/>
      <c r="B141" s="54"/>
      <c r="C141" s="102"/>
      <c r="D141" s="80" t="s">
        <v>297</v>
      </c>
      <c r="E141" s="81" t="s">
        <v>298</v>
      </c>
      <c r="F141" s="82"/>
      <c r="G141" s="83" t="s">
        <v>2</v>
      </c>
      <c r="H141" s="130">
        <v>18.62</v>
      </c>
      <c r="I141" s="130"/>
      <c r="J141" s="130"/>
    </row>
    <row r="142" spans="1:10">
      <c r="A142" s="43"/>
      <c r="B142" s="54"/>
      <c r="C142" s="102"/>
      <c r="D142" s="80"/>
      <c r="E142" s="129" t="s">
        <v>292</v>
      </c>
      <c r="F142" s="82"/>
      <c r="G142" s="83"/>
      <c r="H142" s="130"/>
      <c r="I142" s="130"/>
      <c r="J142" s="130"/>
    </row>
    <row r="143" spans="1:10">
      <c r="A143" s="43"/>
      <c r="B143" s="54"/>
      <c r="C143" s="84"/>
      <c r="D143" s="54"/>
      <c r="E143" s="132" t="s">
        <v>299</v>
      </c>
      <c r="F143" s="73">
        <f xml:space="preserve"> (7.2+6.2)*0.7</f>
        <v>9.3800000000000008</v>
      </c>
      <c r="G143" s="68"/>
      <c r="H143" s="86"/>
      <c r="I143" s="86"/>
      <c r="J143" s="86"/>
    </row>
    <row r="144" spans="1:10">
      <c r="A144" s="43"/>
      <c r="B144" s="54"/>
      <c r="C144" s="84"/>
      <c r="D144" s="54"/>
      <c r="E144" s="132" t="s">
        <v>300</v>
      </c>
      <c r="F144" s="133">
        <f xml:space="preserve"> (6.8+6.4)*0.7</f>
        <v>9.24</v>
      </c>
      <c r="G144" s="68"/>
      <c r="H144" s="86"/>
      <c r="I144" s="86"/>
      <c r="J144" s="86"/>
    </row>
    <row r="145" spans="1:10">
      <c r="A145" s="43"/>
      <c r="B145" s="54"/>
      <c r="C145" s="84"/>
      <c r="D145" s="54"/>
      <c r="E145" s="134" t="s">
        <v>230</v>
      </c>
      <c r="F145" s="73">
        <f>SUM(F143:F144)</f>
        <v>18.62</v>
      </c>
      <c r="G145" s="68"/>
      <c r="H145" s="86"/>
      <c r="I145" s="86"/>
      <c r="J145" s="86"/>
    </row>
    <row r="146" spans="1:10">
      <c r="A146" s="43"/>
      <c r="B146" s="54"/>
      <c r="C146" s="84"/>
      <c r="D146" s="54"/>
      <c r="E146" s="141"/>
      <c r="F146" s="142"/>
      <c r="G146" s="68"/>
      <c r="H146" s="86"/>
      <c r="I146" s="86"/>
      <c r="J146" s="86"/>
    </row>
    <row r="147" spans="1:10" ht="25.5">
      <c r="A147" s="63">
        <f>MAX(A$1:A146)+1</f>
        <v>20</v>
      </c>
      <c r="B147" s="104"/>
      <c r="C147" s="64" t="s">
        <v>301</v>
      </c>
      <c r="D147" s="65"/>
      <c r="E147" s="66" t="s">
        <v>302</v>
      </c>
      <c r="F147" s="67"/>
      <c r="G147" s="68" t="s">
        <v>8</v>
      </c>
      <c r="H147" s="131">
        <v>14.01</v>
      </c>
      <c r="I147" s="308"/>
      <c r="J147" s="131">
        <f t="shared" si="2"/>
        <v>0</v>
      </c>
    </row>
    <row r="148" spans="1:10" ht="25.5">
      <c r="A148" s="103"/>
      <c r="B148" s="104"/>
      <c r="C148" s="105"/>
      <c r="D148" s="146" t="s">
        <v>303</v>
      </c>
      <c r="E148" s="147" t="s">
        <v>304</v>
      </c>
      <c r="F148" s="148"/>
      <c r="G148" s="29" t="s">
        <v>8</v>
      </c>
      <c r="H148" s="130">
        <v>14.01</v>
      </c>
      <c r="I148" s="130"/>
      <c r="J148" s="130"/>
    </row>
    <row r="149" spans="1:10">
      <c r="A149" s="103"/>
      <c r="B149" s="104"/>
      <c r="C149" s="105"/>
      <c r="D149" s="80"/>
      <c r="E149" s="129" t="s">
        <v>305</v>
      </c>
      <c r="F149" s="73"/>
      <c r="G149" s="83"/>
      <c r="H149" s="130"/>
      <c r="I149" s="130"/>
      <c r="J149" s="130"/>
    </row>
    <row r="150" spans="1:10">
      <c r="A150" s="103"/>
      <c r="B150" s="104"/>
      <c r="C150" s="105"/>
      <c r="D150" s="80"/>
      <c r="E150" s="132" t="s">
        <v>306</v>
      </c>
      <c r="F150" s="33">
        <f xml:space="preserve"> 1.474*0.078*7.34</f>
        <v>0.84</v>
      </c>
      <c r="G150" s="83"/>
      <c r="H150" s="130"/>
      <c r="I150" s="130"/>
      <c r="J150" s="130"/>
    </row>
    <row r="151" spans="1:10">
      <c r="A151" s="103"/>
      <c r="B151" s="104"/>
      <c r="C151" s="105"/>
      <c r="D151" s="80"/>
      <c r="E151" s="132" t="s">
        <v>307</v>
      </c>
      <c r="F151" s="34">
        <f xml:space="preserve"> 1.525*0.203*7.34</f>
        <v>2.27</v>
      </c>
      <c r="G151" s="83"/>
      <c r="H151" s="130"/>
      <c r="I151" s="130"/>
      <c r="J151" s="130"/>
    </row>
    <row r="152" spans="1:10">
      <c r="A152" s="103"/>
      <c r="B152" s="104"/>
      <c r="C152" s="105"/>
      <c r="D152" s="80"/>
      <c r="E152" s="134" t="s">
        <v>230</v>
      </c>
      <c r="F152" s="33">
        <f>SUM(F150:F151)</f>
        <v>3.11</v>
      </c>
      <c r="G152" s="83"/>
      <c r="H152" s="130"/>
      <c r="I152" s="130"/>
      <c r="J152" s="130"/>
    </row>
    <row r="153" spans="1:10">
      <c r="A153" s="103"/>
      <c r="B153" s="104"/>
      <c r="C153" s="105"/>
      <c r="D153" s="80"/>
      <c r="E153" s="129" t="s">
        <v>308</v>
      </c>
      <c r="F153" s="33"/>
      <c r="G153" s="83"/>
      <c r="H153" s="130"/>
      <c r="I153" s="130"/>
      <c r="J153" s="130"/>
    </row>
    <row r="154" spans="1:10">
      <c r="A154" s="103"/>
      <c r="B154" s="104"/>
      <c r="C154" s="105"/>
      <c r="D154" s="80"/>
      <c r="E154" s="132" t="s">
        <v>309</v>
      </c>
      <c r="F154" s="33">
        <f xml:space="preserve"> 1.06*2.3+1.22*2.7</f>
        <v>5.73</v>
      </c>
      <c r="G154" s="83"/>
      <c r="H154" s="130"/>
      <c r="I154" s="130"/>
      <c r="J154" s="130"/>
    </row>
    <row r="155" spans="1:10">
      <c r="A155" s="103"/>
      <c r="B155" s="104"/>
      <c r="C155" s="105"/>
      <c r="D155" s="80"/>
      <c r="E155" s="132" t="s">
        <v>310</v>
      </c>
      <c r="F155" s="34">
        <f xml:space="preserve"> 1.12*2.6+0.98*2.3</f>
        <v>5.17</v>
      </c>
      <c r="G155" s="83"/>
      <c r="H155" s="130"/>
      <c r="I155" s="130"/>
      <c r="J155" s="130"/>
    </row>
    <row r="156" spans="1:10">
      <c r="A156" s="103"/>
      <c r="B156" s="104"/>
      <c r="C156" s="105"/>
      <c r="D156" s="80"/>
      <c r="E156" s="134" t="s">
        <v>230</v>
      </c>
      <c r="F156" s="34">
        <f>SUM(F154:F155)</f>
        <v>10.9</v>
      </c>
      <c r="G156" s="83"/>
      <c r="H156" s="130"/>
      <c r="I156" s="130"/>
      <c r="J156" s="130"/>
    </row>
    <row r="157" spans="1:10">
      <c r="A157" s="103"/>
      <c r="B157" s="104"/>
      <c r="C157" s="105"/>
      <c r="D157" s="80"/>
      <c r="E157" s="141" t="s">
        <v>230</v>
      </c>
      <c r="F157" s="149">
        <f>F152+F156</f>
        <v>14.01</v>
      </c>
      <c r="G157" s="83"/>
      <c r="H157" s="130"/>
      <c r="I157" s="130"/>
      <c r="J157" s="130"/>
    </row>
    <row r="158" spans="1:10">
      <c r="A158" s="103"/>
      <c r="B158" s="104"/>
      <c r="C158" s="105"/>
      <c r="D158" s="80"/>
      <c r="E158" s="132"/>
      <c r="F158" s="73"/>
      <c r="G158" s="83"/>
      <c r="H158" s="130"/>
      <c r="I158" s="130"/>
      <c r="J158" s="130"/>
    </row>
    <row r="159" spans="1:10" ht="25.5">
      <c r="A159" s="63">
        <f>MAX(A$1:A158)+1</f>
        <v>21</v>
      </c>
      <c r="B159" s="104"/>
      <c r="C159" s="64" t="s">
        <v>311</v>
      </c>
      <c r="D159" s="65"/>
      <c r="E159" s="66" t="s">
        <v>312</v>
      </c>
      <c r="F159" s="67"/>
      <c r="G159" s="68" t="s">
        <v>8</v>
      </c>
      <c r="H159" s="131">
        <v>20.23</v>
      </c>
      <c r="I159" s="308"/>
      <c r="J159" s="131">
        <f t="shared" si="2"/>
        <v>0</v>
      </c>
    </row>
    <row r="160" spans="1:10" ht="25.5">
      <c r="A160" s="103"/>
      <c r="B160" s="104"/>
      <c r="C160" s="105"/>
      <c r="D160" s="146" t="s">
        <v>313</v>
      </c>
      <c r="E160" s="147" t="s">
        <v>314</v>
      </c>
      <c r="F160" s="148"/>
      <c r="G160" s="29" t="s">
        <v>8</v>
      </c>
      <c r="H160" s="130">
        <v>20.23</v>
      </c>
      <c r="I160" s="130"/>
      <c r="J160" s="130"/>
    </row>
    <row r="161" spans="1:10">
      <c r="A161" s="103"/>
      <c r="B161" s="104"/>
      <c r="C161" s="105"/>
      <c r="D161" s="106"/>
      <c r="E161" s="129" t="s">
        <v>315</v>
      </c>
      <c r="F161" s="33"/>
      <c r="G161" s="29"/>
      <c r="H161" s="130"/>
      <c r="I161" s="130"/>
      <c r="J161" s="130"/>
    </row>
    <row r="162" spans="1:10">
      <c r="A162" s="103"/>
      <c r="B162" s="104"/>
      <c r="C162" s="105"/>
      <c r="D162" s="106"/>
      <c r="E162" s="132" t="s">
        <v>316</v>
      </c>
      <c r="F162" s="33">
        <f xml:space="preserve"> 1.4*7.34-0.077*5.54</f>
        <v>9.85</v>
      </c>
      <c r="G162" s="29"/>
      <c r="H162" s="130"/>
      <c r="I162" s="130"/>
      <c r="J162" s="130"/>
    </row>
    <row r="163" spans="1:10">
      <c r="A163" s="103"/>
      <c r="B163" s="104"/>
      <c r="C163" s="105"/>
      <c r="D163" s="106"/>
      <c r="E163" s="132" t="s">
        <v>317</v>
      </c>
      <c r="F163" s="34">
        <f xml:space="preserve"> 1.47*7.34-0.073*5.54</f>
        <v>10.39</v>
      </c>
      <c r="G163" s="29"/>
      <c r="H163" s="130"/>
      <c r="I163" s="130"/>
      <c r="J163" s="130"/>
    </row>
    <row r="164" spans="1:10">
      <c r="A164" s="103"/>
      <c r="B164" s="104"/>
      <c r="C164" s="105"/>
      <c r="D164" s="106"/>
      <c r="E164" s="134" t="s">
        <v>230</v>
      </c>
      <c r="F164" s="33">
        <f>SUM(F162:F163)</f>
        <v>20.239999999999998</v>
      </c>
      <c r="G164" s="29"/>
      <c r="H164" s="130"/>
      <c r="I164" s="130"/>
      <c r="J164" s="130"/>
    </row>
    <row r="165" spans="1:10" ht="25.5">
      <c r="A165" s="103"/>
      <c r="B165" s="104"/>
      <c r="C165" s="105"/>
      <c r="D165" s="106"/>
      <c r="E165" s="132" t="s">
        <v>318</v>
      </c>
      <c r="F165" s="33"/>
      <c r="G165" s="29"/>
      <c r="H165" s="130"/>
      <c r="I165" s="130"/>
      <c r="J165" s="130"/>
    </row>
    <row r="166" spans="1:10">
      <c r="A166" s="103"/>
      <c r="B166" s="104"/>
      <c r="C166" s="105"/>
      <c r="D166" s="106"/>
      <c r="E166" s="111"/>
      <c r="F166" s="33"/>
      <c r="G166" s="29"/>
      <c r="H166" s="130"/>
      <c r="I166" s="130"/>
      <c r="J166" s="130"/>
    </row>
    <row r="167" spans="1:10" ht="25.5">
      <c r="A167" s="63">
        <f>MAX(A$1:A166)+1</f>
        <v>22</v>
      </c>
      <c r="B167" s="104"/>
      <c r="C167" s="64" t="s">
        <v>319</v>
      </c>
      <c r="D167" s="65"/>
      <c r="E167" s="66" t="s">
        <v>320</v>
      </c>
      <c r="F167" s="67"/>
      <c r="G167" s="68" t="s">
        <v>2</v>
      </c>
      <c r="H167" s="131">
        <v>88.51</v>
      </c>
      <c r="I167" s="308"/>
      <c r="J167" s="131">
        <f t="shared" si="2"/>
        <v>0</v>
      </c>
    </row>
    <row r="168" spans="1:10" ht="25.5">
      <c r="A168" s="103"/>
      <c r="B168" s="104"/>
      <c r="C168" s="102"/>
      <c r="D168" s="80" t="s">
        <v>321</v>
      </c>
      <c r="E168" s="81" t="s">
        <v>322</v>
      </c>
      <c r="F168" s="82"/>
      <c r="G168" s="83" t="s">
        <v>2</v>
      </c>
      <c r="H168" s="130">
        <v>88.51</v>
      </c>
      <c r="I168" s="130"/>
      <c r="J168" s="130"/>
    </row>
    <row r="169" spans="1:10">
      <c r="A169" s="103"/>
      <c r="B169" s="104"/>
      <c r="C169" s="102"/>
      <c r="D169" s="80"/>
      <c r="E169" s="129" t="s">
        <v>323</v>
      </c>
      <c r="F169" s="33"/>
      <c r="G169" s="83"/>
      <c r="H169" s="130"/>
      <c r="I169" s="130"/>
      <c r="J169" s="130"/>
    </row>
    <row r="170" spans="1:10">
      <c r="A170" s="103"/>
      <c r="B170" s="104"/>
      <c r="C170" s="105"/>
      <c r="D170" s="106"/>
      <c r="E170" s="132" t="s">
        <v>324</v>
      </c>
      <c r="F170" s="33">
        <f xml:space="preserve"> 0.078*7.466*2+0.156*1.474</f>
        <v>1.39</v>
      </c>
      <c r="G170" s="29"/>
      <c r="H170" s="130"/>
      <c r="I170" s="130"/>
      <c r="J170" s="130"/>
    </row>
    <row r="171" spans="1:10">
      <c r="A171" s="103"/>
      <c r="B171" s="104"/>
      <c r="C171" s="105"/>
      <c r="D171" s="106"/>
      <c r="E171" s="132" t="s">
        <v>325</v>
      </c>
      <c r="F171" s="33">
        <f xml:space="preserve"> 1.4*2+2.65*7.466</f>
        <v>22.58</v>
      </c>
      <c r="G171" s="29"/>
      <c r="H171" s="130"/>
      <c r="I171" s="130"/>
      <c r="J171" s="130"/>
    </row>
    <row r="172" spans="1:10" ht="38.25">
      <c r="A172" s="103"/>
      <c r="B172" s="104"/>
      <c r="C172" s="105"/>
      <c r="D172" s="106"/>
      <c r="E172" s="132" t="s">
        <v>326</v>
      </c>
      <c r="F172" s="34">
        <f xml:space="preserve"> 1.539*2.3+1.719*2.22+1.755*2.7+1.944*2.78+0.11+0.19+1.06+1.22</f>
        <v>20.079999999999998</v>
      </c>
      <c r="G172" s="29"/>
      <c r="H172" s="130"/>
      <c r="I172" s="130"/>
      <c r="J172" s="130"/>
    </row>
    <row r="173" spans="1:10">
      <c r="A173" s="103"/>
      <c r="B173" s="104"/>
      <c r="C173" s="105"/>
      <c r="D173" s="106"/>
      <c r="E173" s="134" t="s">
        <v>230</v>
      </c>
      <c r="F173" s="33">
        <f>SUM(F170:F172)</f>
        <v>44.05</v>
      </c>
      <c r="G173" s="29"/>
      <c r="H173" s="130"/>
      <c r="I173" s="130"/>
      <c r="J173" s="130"/>
    </row>
    <row r="174" spans="1:10">
      <c r="A174" s="103"/>
      <c r="B174" s="104"/>
      <c r="C174" s="105"/>
      <c r="D174" s="106"/>
      <c r="E174" s="129" t="s">
        <v>327</v>
      </c>
      <c r="F174" s="33"/>
      <c r="G174" s="29"/>
      <c r="H174" s="130"/>
      <c r="I174" s="130"/>
      <c r="J174" s="130"/>
    </row>
    <row r="175" spans="1:10" ht="25.5">
      <c r="A175" s="103"/>
      <c r="B175" s="104"/>
      <c r="C175" s="105"/>
      <c r="D175" s="106"/>
      <c r="E175" s="132" t="s">
        <v>328</v>
      </c>
      <c r="F175" s="33">
        <f xml:space="preserve"> 0.203*7.481*2+0.284*1.565+0.122*1.485</f>
        <v>3.66</v>
      </c>
      <c r="G175" s="29"/>
      <c r="H175" s="130"/>
      <c r="I175" s="130"/>
      <c r="J175" s="130"/>
    </row>
    <row r="176" spans="1:10">
      <c r="A176" s="103"/>
      <c r="B176" s="104"/>
      <c r="C176" s="105"/>
      <c r="D176" s="106"/>
      <c r="E176" s="132" t="s">
        <v>329</v>
      </c>
      <c r="F176" s="33">
        <f xml:space="preserve"> 1.47*2+2.65*7.481</f>
        <v>22.76</v>
      </c>
      <c r="G176" s="29"/>
      <c r="H176" s="130"/>
      <c r="I176" s="130"/>
      <c r="J176" s="130"/>
    </row>
    <row r="177" spans="1:10" ht="38.25">
      <c r="A177" s="103"/>
      <c r="B177" s="104"/>
      <c r="C177" s="105"/>
      <c r="D177" s="106"/>
      <c r="E177" s="132" t="s">
        <v>330</v>
      </c>
      <c r="F177" s="34">
        <f xml:space="preserve"> 1.592*2.6+1.779*2.52+1.424*2.3+1.651*2.38+0.08+0.02+1.12+0.98</f>
        <v>18.03</v>
      </c>
      <c r="G177" s="29"/>
      <c r="H177" s="130"/>
      <c r="I177" s="130"/>
      <c r="J177" s="130"/>
    </row>
    <row r="178" spans="1:10">
      <c r="A178" s="103"/>
      <c r="B178" s="104"/>
      <c r="C178" s="105"/>
      <c r="D178" s="106"/>
      <c r="E178" s="134" t="s">
        <v>230</v>
      </c>
      <c r="F178" s="33">
        <f>SUM(F175:F177)</f>
        <v>44.45</v>
      </c>
      <c r="G178" s="29"/>
      <c r="H178" s="130"/>
      <c r="I178" s="130"/>
      <c r="J178" s="130"/>
    </row>
    <row r="179" spans="1:10">
      <c r="A179" s="103"/>
      <c r="B179" s="104"/>
      <c r="C179" s="105"/>
      <c r="D179" s="106"/>
      <c r="E179" s="141" t="s">
        <v>230</v>
      </c>
      <c r="F179" s="149">
        <f>F173+F178</f>
        <v>88.5</v>
      </c>
      <c r="G179" s="29"/>
      <c r="H179" s="130"/>
      <c r="I179" s="130"/>
      <c r="J179" s="130"/>
    </row>
    <row r="180" spans="1:10">
      <c r="A180" s="103"/>
      <c r="B180" s="104"/>
      <c r="C180" s="105"/>
      <c r="D180" s="106"/>
      <c r="E180" s="111"/>
      <c r="F180" s="33"/>
      <c r="G180" s="29"/>
      <c r="H180" s="130"/>
      <c r="I180" s="130"/>
      <c r="J180" s="130"/>
    </row>
    <row r="181" spans="1:10" ht="25.5">
      <c r="A181" s="63">
        <f>MAX(A$1:A180)+1</f>
        <v>23</v>
      </c>
      <c r="B181" s="104"/>
      <c r="C181" s="64" t="s">
        <v>331</v>
      </c>
      <c r="D181" s="65"/>
      <c r="E181" s="66" t="s">
        <v>332</v>
      </c>
      <c r="F181" s="67"/>
      <c r="G181" s="68" t="s">
        <v>0</v>
      </c>
      <c r="H181" s="131">
        <v>1.88</v>
      </c>
      <c r="I181" s="308"/>
      <c r="J181" s="131">
        <f t="shared" si="2"/>
        <v>0</v>
      </c>
    </row>
    <row r="182" spans="1:10" ht="25.5">
      <c r="A182" s="103"/>
      <c r="B182" s="104"/>
      <c r="C182" s="105"/>
      <c r="D182" s="80" t="s">
        <v>333</v>
      </c>
      <c r="E182" s="81" t="s">
        <v>334</v>
      </c>
      <c r="F182" s="82"/>
      <c r="G182" s="83" t="s">
        <v>0</v>
      </c>
      <c r="H182" s="130">
        <v>1.88</v>
      </c>
      <c r="I182" s="130"/>
      <c r="J182" s="130"/>
    </row>
    <row r="183" spans="1:10">
      <c r="A183" s="103"/>
      <c r="B183" s="104"/>
      <c r="C183" s="105"/>
      <c r="D183" s="80"/>
      <c r="E183" s="129" t="s">
        <v>335</v>
      </c>
      <c r="F183" s="62"/>
      <c r="G183" s="83"/>
      <c r="H183" s="130"/>
      <c r="I183" s="130"/>
      <c r="J183" s="130"/>
    </row>
    <row r="184" spans="1:10">
      <c r="A184" s="103"/>
      <c r="B184" s="104"/>
      <c r="C184" s="105"/>
      <c r="D184" s="80"/>
      <c r="E184" s="132" t="s">
        <v>336</v>
      </c>
      <c r="F184" s="33">
        <f xml:space="preserve"> 935.6*0.001</f>
        <v>0.94</v>
      </c>
      <c r="G184" s="83"/>
      <c r="H184" s="130"/>
      <c r="I184" s="130"/>
      <c r="J184" s="130"/>
    </row>
    <row r="185" spans="1:10">
      <c r="A185" s="103"/>
      <c r="B185" s="104"/>
      <c r="C185" s="105"/>
      <c r="D185" s="80"/>
      <c r="E185" s="132" t="s">
        <v>337</v>
      </c>
      <c r="F185" s="133">
        <f xml:space="preserve"> 942.8*0.001</f>
        <v>0.94</v>
      </c>
      <c r="G185" s="83"/>
      <c r="H185" s="130"/>
      <c r="I185" s="130"/>
      <c r="J185" s="130"/>
    </row>
    <row r="186" spans="1:10">
      <c r="A186" s="103"/>
      <c r="B186" s="104"/>
      <c r="C186" s="105"/>
      <c r="D186" s="80"/>
      <c r="E186" s="134" t="s">
        <v>230</v>
      </c>
      <c r="F186" s="73">
        <f>SUM(F184:F185)</f>
        <v>1.88</v>
      </c>
      <c r="G186" s="83"/>
      <c r="H186" s="130"/>
      <c r="I186" s="130"/>
      <c r="J186" s="130"/>
    </row>
    <row r="187" spans="1:10" ht="25.5">
      <c r="A187" s="103"/>
      <c r="B187" s="104"/>
      <c r="C187" s="105"/>
      <c r="D187" s="106"/>
      <c r="E187" s="132" t="s">
        <v>338</v>
      </c>
      <c r="F187" s="33"/>
      <c r="G187" s="29"/>
      <c r="H187" s="130"/>
      <c r="I187" s="130"/>
      <c r="J187" s="130"/>
    </row>
    <row r="188" spans="1:10">
      <c r="A188" s="103"/>
      <c r="B188" s="104"/>
      <c r="C188" s="105"/>
      <c r="D188" s="106"/>
      <c r="E188" s="132"/>
      <c r="F188" s="73"/>
      <c r="G188" s="29"/>
      <c r="H188" s="130"/>
      <c r="I188" s="130"/>
      <c r="J188" s="130"/>
    </row>
    <row r="189" spans="1:10" ht="25.5">
      <c r="A189" s="63">
        <f>MAX(A$1:A188)+1</f>
        <v>24</v>
      </c>
      <c r="B189" s="104"/>
      <c r="C189" s="64" t="s">
        <v>339</v>
      </c>
      <c r="D189" s="65"/>
      <c r="E189" s="66" t="s">
        <v>340</v>
      </c>
      <c r="F189" s="67"/>
      <c r="G189" s="68" t="s">
        <v>8</v>
      </c>
      <c r="H189" s="131">
        <v>7.83</v>
      </c>
      <c r="I189" s="308"/>
      <c r="J189" s="131">
        <f t="shared" si="2"/>
        <v>0</v>
      </c>
    </row>
    <row r="190" spans="1:10" ht="25.5">
      <c r="A190" s="103"/>
      <c r="B190" s="104"/>
      <c r="C190" s="105"/>
      <c r="D190" s="146" t="s">
        <v>341</v>
      </c>
      <c r="E190" s="147" t="s">
        <v>342</v>
      </c>
      <c r="F190" s="148"/>
      <c r="G190" s="29" t="s">
        <v>8</v>
      </c>
      <c r="H190" s="130">
        <v>7.83</v>
      </c>
      <c r="I190" s="130"/>
      <c r="J190" s="130"/>
    </row>
    <row r="191" spans="1:10">
      <c r="A191" s="103"/>
      <c r="B191" s="104"/>
      <c r="C191" s="105"/>
      <c r="D191" s="106"/>
      <c r="E191" s="132" t="s">
        <v>343</v>
      </c>
      <c r="F191" s="33">
        <f xml:space="preserve"> 0.281*(3.147+7.98+3.15)</f>
        <v>4.01</v>
      </c>
      <c r="G191" s="29"/>
      <c r="H191" s="130"/>
      <c r="I191" s="130"/>
      <c r="J191" s="130"/>
    </row>
    <row r="192" spans="1:10">
      <c r="A192" s="103"/>
      <c r="B192" s="104"/>
      <c r="C192" s="105"/>
      <c r="D192" s="106"/>
      <c r="E192" s="132" t="s">
        <v>344</v>
      </c>
      <c r="F192" s="34">
        <f xml:space="preserve"> 0.281*(2.87+7.96+2.747)</f>
        <v>3.82</v>
      </c>
      <c r="G192" s="29"/>
      <c r="H192" s="130"/>
      <c r="I192" s="130"/>
      <c r="J192" s="130"/>
    </row>
    <row r="193" spans="1:10">
      <c r="A193" s="103"/>
      <c r="B193" s="104"/>
      <c r="C193" s="105"/>
      <c r="D193" s="106"/>
      <c r="E193" s="134" t="s">
        <v>230</v>
      </c>
      <c r="F193" s="33">
        <f>SUM(F191:F192)</f>
        <v>7.83</v>
      </c>
      <c r="G193" s="29"/>
      <c r="H193" s="130"/>
      <c r="I193" s="130"/>
      <c r="J193" s="130"/>
    </row>
    <row r="194" spans="1:10" ht="25.5">
      <c r="A194" s="103"/>
      <c r="B194" s="104"/>
      <c r="C194" s="105"/>
      <c r="D194" s="106"/>
      <c r="E194" s="132" t="s">
        <v>345</v>
      </c>
      <c r="F194" s="33"/>
      <c r="G194" s="29"/>
      <c r="H194" s="130"/>
      <c r="I194" s="130"/>
      <c r="J194" s="130"/>
    </row>
    <row r="195" spans="1:10">
      <c r="A195" s="103"/>
      <c r="B195" s="104"/>
      <c r="C195" s="105"/>
      <c r="D195" s="106"/>
      <c r="E195" s="111"/>
      <c r="F195" s="73"/>
      <c r="G195" s="29"/>
      <c r="H195" s="130"/>
      <c r="I195" s="130"/>
      <c r="J195" s="130"/>
    </row>
    <row r="196" spans="1:10" ht="25.5">
      <c r="A196" s="63">
        <f>MAX(A$1:A195)+1</f>
        <v>25</v>
      </c>
      <c r="B196" s="104"/>
      <c r="C196" s="64" t="s">
        <v>346</v>
      </c>
      <c r="D196" s="65"/>
      <c r="E196" s="66" t="s">
        <v>347</v>
      </c>
      <c r="F196" s="67"/>
      <c r="G196" s="68" t="s">
        <v>2</v>
      </c>
      <c r="H196" s="131">
        <v>34.01</v>
      </c>
      <c r="I196" s="308"/>
      <c r="J196" s="131">
        <f t="shared" si="2"/>
        <v>0</v>
      </c>
    </row>
    <row r="197" spans="1:10" ht="25.5">
      <c r="A197" s="103"/>
      <c r="B197" s="104"/>
      <c r="C197" s="102"/>
      <c r="D197" s="80" t="s">
        <v>348</v>
      </c>
      <c r="E197" s="81" t="s">
        <v>349</v>
      </c>
      <c r="F197" s="82"/>
      <c r="G197" s="83" t="s">
        <v>2</v>
      </c>
      <c r="H197" s="130">
        <v>34.01</v>
      </c>
      <c r="I197" s="130"/>
      <c r="J197" s="130"/>
    </row>
    <row r="198" spans="1:10">
      <c r="A198" s="103"/>
      <c r="B198" s="104"/>
      <c r="C198" s="102"/>
      <c r="D198" s="80"/>
      <c r="E198" s="132" t="s">
        <v>350</v>
      </c>
      <c r="F198" s="33">
        <f xml:space="preserve"> 0.281*4+1.14*14.28</f>
        <v>17.399999999999999</v>
      </c>
      <c r="G198" s="83"/>
      <c r="H198" s="130"/>
      <c r="I198" s="130"/>
      <c r="J198" s="130"/>
    </row>
    <row r="199" spans="1:10">
      <c r="A199" s="103"/>
      <c r="B199" s="104"/>
      <c r="C199" s="102"/>
      <c r="D199" s="80"/>
      <c r="E199" s="132" t="s">
        <v>351</v>
      </c>
      <c r="F199" s="34">
        <f xml:space="preserve"> 0.2813*4+1.14*13.58</f>
        <v>16.61</v>
      </c>
      <c r="G199" s="83"/>
      <c r="H199" s="130"/>
      <c r="I199" s="130"/>
      <c r="J199" s="130"/>
    </row>
    <row r="200" spans="1:10">
      <c r="A200" s="103"/>
      <c r="B200" s="104"/>
      <c r="C200" s="102"/>
      <c r="D200" s="80"/>
      <c r="E200" s="134" t="s">
        <v>230</v>
      </c>
      <c r="F200" s="33">
        <f>SUM(F198:F199)</f>
        <v>34.01</v>
      </c>
      <c r="G200" s="83"/>
      <c r="H200" s="130"/>
      <c r="I200" s="130"/>
      <c r="J200" s="130"/>
    </row>
    <row r="201" spans="1:10">
      <c r="A201" s="103"/>
      <c r="B201" s="104"/>
      <c r="C201" s="102"/>
      <c r="D201" s="80"/>
      <c r="E201" s="132" t="s">
        <v>352</v>
      </c>
      <c r="F201" s="73"/>
      <c r="G201" s="83"/>
      <c r="H201" s="130"/>
      <c r="I201" s="130"/>
      <c r="J201" s="130"/>
    </row>
    <row r="202" spans="1:10">
      <c r="A202" s="103"/>
      <c r="B202" s="104"/>
      <c r="C202" s="102"/>
      <c r="D202" s="80"/>
      <c r="E202" s="132"/>
      <c r="F202" s="73"/>
      <c r="G202" s="83"/>
      <c r="H202" s="130"/>
      <c r="I202" s="130"/>
      <c r="J202" s="130"/>
    </row>
    <row r="203" spans="1:10" ht="25.5">
      <c r="A203" s="63">
        <f>MAX(A$1:A202)+1</f>
        <v>26</v>
      </c>
      <c r="B203" s="104"/>
      <c r="C203" s="64" t="s">
        <v>353</v>
      </c>
      <c r="D203" s="65"/>
      <c r="E203" s="66" t="s">
        <v>354</v>
      </c>
      <c r="F203" s="67"/>
      <c r="G203" s="68" t="s">
        <v>0</v>
      </c>
      <c r="H203" s="131">
        <v>1.02</v>
      </c>
      <c r="I203" s="308"/>
      <c r="J203" s="131">
        <f t="shared" ref="J203:J261" si="3">I203*H203</f>
        <v>0</v>
      </c>
    </row>
    <row r="204" spans="1:10" ht="25.5">
      <c r="A204" s="103"/>
      <c r="B204" s="104"/>
      <c r="C204" s="105"/>
      <c r="D204" s="80" t="s">
        <v>355</v>
      </c>
      <c r="E204" s="81" t="s">
        <v>356</v>
      </c>
      <c r="F204" s="82"/>
      <c r="G204" s="83" t="s">
        <v>0</v>
      </c>
      <c r="H204" s="130">
        <v>1.02</v>
      </c>
      <c r="I204" s="130"/>
      <c r="J204" s="130"/>
    </row>
    <row r="205" spans="1:10">
      <c r="A205" s="103"/>
      <c r="B205" s="104"/>
      <c r="C205" s="105"/>
      <c r="D205" s="80"/>
      <c r="E205" s="129" t="s">
        <v>335</v>
      </c>
      <c r="F205" s="62"/>
      <c r="G205" s="83"/>
      <c r="H205" s="130"/>
      <c r="I205" s="130"/>
      <c r="J205" s="130"/>
    </row>
    <row r="206" spans="1:10">
      <c r="A206" s="103"/>
      <c r="B206" s="104"/>
      <c r="C206" s="105"/>
      <c r="D206" s="80"/>
      <c r="E206" s="132" t="s">
        <v>357</v>
      </c>
      <c r="F206" s="33">
        <f xml:space="preserve"> 1016*0.001</f>
        <v>1.02</v>
      </c>
      <c r="G206" s="83"/>
      <c r="H206" s="130"/>
      <c r="I206" s="130"/>
      <c r="J206" s="130"/>
    </row>
    <row r="207" spans="1:10">
      <c r="A207" s="103"/>
      <c r="B207" s="104"/>
      <c r="C207" s="105"/>
      <c r="D207" s="106"/>
      <c r="E207" s="111"/>
      <c r="F207" s="73"/>
      <c r="G207" s="29"/>
      <c r="H207" s="130"/>
      <c r="I207" s="130"/>
      <c r="J207" s="130"/>
    </row>
    <row r="208" spans="1:10" ht="25.5">
      <c r="A208" s="63">
        <f>MAX(A$1:A207)+1</f>
        <v>27</v>
      </c>
      <c r="B208" s="104"/>
      <c r="C208" s="64" t="s">
        <v>358</v>
      </c>
      <c r="D208" s="65"/>
      <c r="E208" s="60" t="s">
        <v>359</v>
      </c>
      <c r="F208" s="67"/>
      <c r="G208" s="68" t="s">
        <v>8</v>
      </c>
      <c r="H208" s="131">
        <v>11.2</v>
      </c>
      <c r="I208" s="308"/>
      <c r="J208" s="131">
        <f t="shared" si="3"/>
        <v>0</v>
      </c>
    </row>
    <row r="209" spans="1:10" ht="25.5">
      <c r="A209" s="103"/>
      <c r="B209" s="104"/>
      <c r="C209" s="105"/>
      <c r="D209" s="146" t="s">
        <v>360</v>
      </c>
      <c r="E209" s="147" t="s">
        <v>361</v>
      </c>
      <c r="F209" s="148"/>
      <c r="G209" s="83" t="s">
        <v>8</v>
      </c>
      <c r="H209" s="130">
        <v>11.2</v>
      </c>
      <c r="I209" s="130"/>
      <c r="J209" s="130"/>
    </row>
    <row r="210" spans="1:10">
      <c r="A210" s="103"/>
      <c r="B210" s="104"/>
      <c r="C210" s="105"/>
      <c r="D210" s="106"/>
      <c r="E210" s="132" t="s">
        <v>362</v>
      </c>
      <c r="F210" s="33">
        <f xml:space="preserve"> 0.723*5.5</f>
        <v>3.98</v>
      </c>
      <c r="G210" s="29"/>
      <c r="H210" s="130"/>
      <c r="I210" s="130"/>
      <c r="J210" s="130"/>
    </row>
    <row r="211" spans="1:10">
      <c r="A211" s="103"/>
      <c r="B211" s="104"/>
      <c r="C211" s="105"/>
      <c r="D211" s="106"/>
      <c r="E211" s="132" t="s">
        <v>363</v>
      </c>
      <c r="F211" s="33">
        <f xml:space="preserve"> 0.723*5.5</f>
        <v>3.98</v>
      </c>
      <c r="G211" s="29"/>
      <c r="H211" s="130"/>
      <c r="I211" s="130"/>
      <c r="J211" s="130"/>
    </row>
    <row r="212" spans="1:10">
      <c r="A212" s="103"/>
      <c r="B212" s="104"/>
      <c r="C212" s="105"/>
      <c r="D212" s="106"/>
      <c r="E212" s="129" t="s">
        <v>364</v>
      </c>
      <c r="F212" s="33"/>
      <c r="G212" s="29"/>
      <c r="H212" s="130"/>
      <c r="I212" s="130"/>
      <c r="J212" s="130"/>
    </row>
    <row r="213" spans="1:10">
      <c r="A213" s="103"/>
      <c r="B213" s="104"/>
      <c r="C213" s="105"/>
      <c r="D213" s="106"/>
      <c r="E213" s="132" t="s">
        <v>365</v>
      </c>
      <c r="F213" s="33">
        <f xml:space="preserve"> 0.285*5.7</f>
        <v>1.62</v>
      </c>
      <c r="G213" s="29"/>
      <c r="H213" s="130"/>
      <c r="I213" s="130"/>
      <c r="J213" s="130"/>
    </row>
    <row r="214" spans="1:10">
      <c r="A214" s="103"/>
      <c r="B214" s="104"/>
      <c r="C214" s="105"/>
      <c r="D214" s="106"/>
      <c r="E214" s="132" t="s">
        <v>366</v>
      </c>
      <c r="F214" s="34">
        <f xml:space="preserve"> 0.285*5.7</f>
        <v>1.62</v>
      </c>
      <c r="G214" s="29"/>
      <c r="H214" s="130"/>
      <c r="I214" s="130"/>
      <c r="J214" s="130"/>
    </row>
    <row r="215" spans="1:10">
      <c r="A215" s="103"/>
      <c r="B215" s="104"/>
      <c r="C215" s="105"/>
      <c r="D215" s="106"/>
      <c r="E215" s="134" t="s">
        <v>230</v>
      </c>
      <c r="F215" s="33">
        <f>SUM(F210:F214)</f>
        <v>11.2</v>
      </c>
      <c r="G215" s="29"/>
      <c r="H215" s="130"/>
      <c r="I215" s="130"/>
      <c r="J215" s="130"/>
    </row>
    <row r="216" spans="1:10">
      <c r="A216" s="103"/>
      <c r="B216" s="104"/>
      <c r="C216" s="105"/>
      <c r="D216" s="106"/>
      <c r="E216" s="111"/>
      <c r="F216" s="33"/>
      <c r="G216" s="29"/>
      <c r="H216" s="130"/>
      <c r="I216" s="130"/>
      <c r="J216" s="130"/>
    </row>
    <row r="217" spans="1:10" ht="25.5">
      <c r="A217" s="63">
        <f>MAX(A$1:A216)+1</f>
        <v>28</v>
      </c>
      <c r="B217" s="104"/>
      <c r="C217" s="64" t="s">
        <v>367</v>
      </c>
      <c r="D217" s="65"/>
      <c r="E217" s="66" t="s">
        <v>368</v>
      </c>
      <c r="F217" s="67"/>
      <c r="G217" s="68" t="s">
        <v>2</v>
      </c>
      <c r="H217" s="131">
        <v>6.17</v>
      </c>
      <c r="I217" s="308"/>
      <c r="J217" s="131">
        <f t="shared" si="3"/>
        <v>0</v>
      </c>
    </row>
    <row r="218" spans="1:10" ht="25.5">
      <c r="A218" s="103"/>
      <c r="B218" s="104"/>
      <c r="C218" s="102"/>
      <c r="D218" s="80" t="s">
        <v>369</v>
      </c>
      <c r="E218" s="81" t="s">
        <v>370</v>
      </c>
      <c r="F218" s="82"/>
      <c r="G218" s="83" t="s">
        <v>2</v>
      </c>
      <c r="H218" s="130">
        <v>6.17</v>
      </c>
      <c r="I218" s="130"/>
      <c r="J218" s="130"/>
    </row>
    <row r="219" spans="1:10">
      <c r="A219" s="103"/>
      <c r="B219" s="104"/>
      <c r="C219" s="102"/>
      <c r="D219" s="80"/>
      <c r="E219" s="132" t="s">
        <v>371</v>
      </c>
      <c r="F219" s="33">
        <f xml:space="preserve"> 0.285*2+0.24*5.6</f>
        <v>1.91</v>
      </c>
      <c r="G219" s="83"/>
      <c r="H219" s="130"/>
      <c r="I219" s="130"/>
      <c r="J219" s="130"/>
    </row>
    <row r="220" spans="1:10">
      <c r="A220" s="103"/>
      <c r="B220" s="104"/>
      <c r="C220" s="102"/>
      <c r="D220" s="80"/>
      <c r="E220" s="132" t="s">
        <v>372</v>
      </c>
      <c r="F220" s="33">
        <f xml:space="preserve"> 0.285*2+0.24*5.6</f>
        <v>1.91</v>
      </c>
      <c r="G220" s="83"/>
      <c r="H220" s="130"/>
      <c r="I220" s="130"/>
      <c r="J220" s="130"/>
    </row>
    <row r="221" spans="1:10">
      <c r="A221" s="103"/>
      <c r="B221" s="104"/>
      <c r="C221" s="102"/>
      <c r="D221" s="80"/>
      <c r="E221" s="129" t="s">
        <v>373</v>
      </c>
      <c r="F221" s="33"/>
      <c r="G221" s="83"/>
      <c r="H221" s="130"/>
      <c r="I221" s="130"/>
      <c r="J221" s="130"/>
    </row>
    <row r="222" spans="1:10">
      <c r="A222" s="103"/>
      <c r="B222" s="104"/>
      <c r="C222" s="102"/>
      <c r="D222" s="80"/>
      <c r="E222" s="132" t="s">
        <v>374</v>
      </c>
      <c r="F222" s="33">
        <f xml:space="preserve"> 11.7*0.1</f>
        <v>1.17</v>
      </c>
      <c r="G222" s="83"/>
      <c r="H222" s="130"/>
      <c r="I222" s="130"/>
      <c r="J222" s="130"/>
    </row>
    <row r="223" spans="1:10">
      <c r="A223" s="103"/>
      <c r="B223" s="104"/>
      <c r="C223" s="102"/>
      <c r="D223" s="80"/>
      <c r="E223" s="132" t="s">
        <v>375</v>
      </c>
      <c r="F223" s="34">
        <f xml:space="preserve"> 11.7*0.1</f>
        <v>1.17</v>
      </c>
      <c r="G223" s="83"/>
      <c r="H223" s="130"/>
      <c r="I223" s="130"/>
      <c r="J223" s="130"/>
    </row>
    <row r="224" spans="1:10">
      <c r="A224" s="103"/>
      <c r="B224" s="104"/>
      <c r="C224" s="102"/>
      <c r="D224" s="80"/>
      <c r="E224" s="134" t="s">
        <v>230</v>
      </c>
      <c r="F224" s="33">
        <f>SUM(F219:F223)</f>
        <v>6.16</v>
      </c>
      <c r="G224" s="83"/>
      <c r="H224" s="130"/>
      <c r="I224" s="130"/>
      <c r="J224" s="130"/>
    </row>
    <row r="225" spans="1:10">
      <c r="A225" s="103"/>
      <c r="B225" s="104"/>
      <c r="C225" s="105"/>
      <c r="D225" s="106"/>
      <c r="E225" s="111"/>
      <c r="F225" s="33"/>
      <c r="G225" s="29"/>
      <c r="H225" s="130"/>
      <c r="I225" s="130"/>
      <c r="J225" s="130"/>
    </row>
    <row r="226" spans="1:10" ht="25.5">
      <c r="A226" s="63">
        <f>MAX(A$1:A225)+1</f>
        <v>29</v>
      </c>
      <c r="B226" s="104"/>
      <c r="C226" s="64" t="s">
        <v>376</v>
      </c>
      <c r="D226" s="65"/>
      <c r="E226" s="66" t="s">
        <v>377</v>
      </c>
      <c r="F226" s="67"/>
      <c r="G226" s="68" t="s">
        <v>0</v>
      </c>
      <c r="H226" s="131">
        <v>1.07</v>
      </c>
      <c r="I226" s="308"/>
      <c r="J226" s="131">
        <f t="shared" si="3"/>
        <v>0</v>
      </c>
    </row>
    <row r="227" spans="1:10" ht="25.5">
      <c r="A227" s="103"/>
      <c r="B227" s="104"/>
      <c r="C227" s="105"/>
      <c r="D227" s="80" t="s">
        <v>378</v>
      </c>
      <c r="E227" s="81" t="s">
        <v>379</v>
      </c>
      <c r="F227" s="82"/>
      <c r="G227" s="83" t="s">
        <v>0</v>
      </c>
      <c r="H227" s="130">
        <v>1.07</v>
      </c>
      <c r="I227" s="130"/>
      <c r="J227" s="130"/>
    </row>
    <row r="228" spans="1:10">
      <c r="A228" s="103"/>
      <c r="B228" s="104"/>
      <c r="C228" s="105"/>
      <c r="D228" s="80"/>
      <c r="E228" s="129" t="s">
        <v>335</v>
      </c>
      <c r="F228" s="33"/>
      <c r="G228" s="83"/>
      <c r="H228" s="130"/>
      <c r="I228" s="130"/>
      <c r="J228" s="130"/>
    </row>
    <row r="229" spans="1:10">
      <c r="A229" s="103"/>
      <c r="B229" s="104"/>
      <c r="C229" s="105"/>
      <c r="D229" s="80"/>
      <c r="E229" s="132" t="s">
        <v>380</v>
      </c>
      <c r="F229" s="33">
        <f xml:space="preserve"> 534.2*0.001</f>
        <v>0.53</v>
      </c>
      <c r="G229" s="83"/>
      <c r="H229" s="130"/>
      <c r="I229" s="130"/>
      <c r="J229" s="130"/>
    </row>
    <row r="230" spans="1:10">
      <c r="A230" s="103"/>
      <c r="B230" s="104"/>
      <c r="C230" s="105"/>
      <c r="D230" s="80"/>
      <c r="E230" s="132" t="s">
        <v>381</v>
      </c>
      <c r="F230" s="34">
        <f xml:space="preserve"> 534.2*0.001</f>
        <v>0.53</v>
      </c>
      <c r="G230" s="83"/>
      <c r="H230" s="130"/>
      <c r="I230" s="130"/>
      <c r="J230" s="130"/>
    </row>
    <row r="231" spans="1:10">
      <c r="A231" s="103"/>
      <c r="B231" s="104"/>
      <c r="C231" s="105"/>
      <c r="D231" s="80"/>
      <c r="E231" s="134" t="s">
        <v>230</v>
      </c>
      <c r="F231" s="33">
        <f>SUM(F229:F230)</f>
        <v>1.06</v>
      </c>
      <c r="G231" s="83"/>
      <c r="H231" s="130"/>
      <c r="I231" s="130"/>
      <c r="J231" s="130"/>
    </row>
    <row r="232" spans="1:10">
      <c r="A232" s="103"/>
      <c r="B232" s="104"/>
      <c r="C232" s="105"/>
      <c r="D232" s="80"/>
      <c r="E232" s="134"/>
      <c r="F232" s="73"/>
      <c r="G232" s="83"/>
      <c r="H232" s="130"/>
      <c r="I232" s="130"/>
      <c r="J232" s="130"/>
    </row>
    <row r="233" spans="1:10" ht="25.5">
      <c r="A233" s="63">
        <f>MAX(A$1:A232)+1</f>
        <v>30</v>
      </c>
      <c r="B233" s="104"/>
      <c r="C233" s="64" t="s">
        <v>382</v>
      </c>
      <c r="D233" s="65"/>
      <c r="E233" s="66" t="s">
        <v>383</v>
      </c>
      <c r="F233" s="67"/>
      <c r="G233" s="68" t="s">
        <v>8</v>
      </c>
      <c r="H233" s="131">
        <v>18.260000000000002</v>
      </c>
      <c r="I233" s="308"/>
      <c r="J233" s="131">
        <f t="shared" si="3"/>
        <v>0</v>
      </c>
    </row>
    <row r="234" spans="1:10" ht="25.5">
      <c r="A234" s="103"/>
      <c r="B234" s="104"/>
      <c r="C234" s="105"/>
      <c r="D234" s="146" t="s">
        <v>384</v>
      </c>
      <c r="E234" s="147" t="s">
        <v>385</v>
      </c>
      <c r="F234" s="148"/>
      <c r="G234" s="29" t="s">
        <v>8</v>
      </c>
      <c r="H234" s="130">
        <v>18.260000000000002</v>
      </c>
      <c r="I234" s="130"/>
      <c r="J234" s="130"/>
    </row>
    <row r="235" spans="1:10">
      <c r="A235" s="103"/>
      <c r="B235" s="104"/>
      <c r="C235" s="105"/>
      <c r="D235" s="106"/>
      <c r="E235" s="132" t="s">
        <v>386</v>
      </c>
      <c r="F235" s="33">
        <f xml:space="preserve"> 0.955*7.959</f>
        <v>7.6</v>
      </c>
      <c r="G235" s="29"/>
      <c r="H235" s="130"/>
      <c r="I235" s="130"/>
      <c r="J235" s="130"/>
    </row>
    <row r="236" spans="1:10" ht="25.5">
      <c r="A236" s="103"/>
      <c r="B236" s="104"/>
      <c r="C236" s="105"/>
      <c r="D236" s="106"/>
      <c r="E236" s="132" t="s">
        <v>387</v>
      </c>
      <c r="F236" s="33">
        <f xml:space="preserve"> 0.147*8*7.4</f>
        <v>8.6999999999999993</v>
      </c>
      <c r="G236" s="29"/>
      <c r="H236" s="130"/>
      <c r="I236" s="130"/>
      <c r="J236" s="130"/>
    </row>
    <row r="237" spans="1:10">
      <c r="A237" s="103"/>
      <c r="B237" s="104"/>
      <c r="C237" s="105"/>
      <c r="D237" s="106"/>
      <c r="E237" s="132" t="s">
        <v>388</v>
      </c>
      <c r="F237" s="33">
        <f xml:space="preserve"> 0.132*7.42</f>
        <v>0.98</v>
      </c>
      <c r="G237" s="29"/>
      <c r="H237" s="130"/>
      <c r="I237" s="130"/>
      <c r="J237" s="130"/>
    </row>
    <row r="238" spans="1:10">
      <c r="A238" s="103"/>
      <c r="B238" s="104"/>
      <c r="C238" s="105"/>
      <c r="D238" s="106"/>
      <c r="E238" s="132" t="s">
        <v>389</v>
      </c>
      <c r="F238" s="34">
        <f xml:space="preserve"> 0.132*7.42</f>
        <v>0.98</v>
      </c>
      <c r="G238" s="29"/>
      <c r="H238" s="130"/>
      <c r="I238" s="130"/>
      <c r="J238" s="130"/>
    </row>
    <row r="239" spans="1:10">
      <c r="A239" s="103"/>
      <c r="B239" s="104"/>
      <c r="C239" s="105"/>
      <c r="D239" s="106"/>
      <c r="E239" s="134" t="s">
        <v>230</v>
      </c>
      <c r="F239" s="33">
        <f>SUM(F235:F238)</f>
        <v>18.260000000000002</v>
      </c>
      <c r="G239" s="29"/>
      <c r="H239" s="130"/>
      <c r="I239" s="130"/>
      <c r="J239" s="130"/>
    </row>
    <row r="240" spans="1:10">
      <c r="A240" s="103"/>
      <c r="B240" s="104"/>
      <c r="C240" s="105"/>
      <c r="D240" s="106"/>
      <c r="E240" s="111"/>
      <c r="F240" s="73"/>
      <c r="G240" s="29"/>
      <c r="H240" s="130"/>
      <c r="I240" s="130"/>
      <c r="J240" s="130"/>
    </row>
    <row r="241" spans="1:10" ht="25.5">
      <c r="A241" s="63">
        <f>MAX(A$1:A240)+1</f>
        <v>31</v>
      </c>
      <c r="B241" s="104"/>
      <c r="C241" s="64" t="s">
        <v>390</v>
      </c>
      <c r="D241" s="65"/>
      <c r="E241" s="66" t="s">
        <v>391</v>
      </c>
      <c r="F241" s="67"/>
      <c r="G241" s="68" t="s">
        <v>2</v>
      </c>
      <c r="H241" s="131">
        <v>16.649999999999999</v>
      </c>
      <c r="I241" s="308"/>
      <c r="J241" s="131">
        <f t="shared" si="3"/>
        <v>0</v>
      </c>
    </row>
    <row r="242" spans="1:10" ht="25.5">
      <c r="A242" s="103"/>
      <c r="B242" s="104"/>
      <c r="C242" s="102"/>
      <c r="D242" s="80" t="s">
        <v>392</v>
      </c>
      <c r="E242" s="81" t="s">
        <v>393</v>
      </c>
      <c r="F242" s="82"/>
      <c r="G242" s="83" t="s">
        <v>2</v>
      </c>
      <c r="H242" s="130">
        <v>16.649999999999999</v>
      </c>
      <c r="I242" s="130"/>
      <c r="J242" s="130"/>
    </row>
    <row r="243" spans="1:10">
      <c r="A243" s="103"/>
      <c r="B243" s="104"/>
      <c r="C243" s="105"/>
      <c r="D243" s="106"/>
      <c r="E243" s="132" t="s">
        <v>394</v>
      </c>
      <c r="F243" s="33">
        <f xml:space="preserve"> 0.97*2+0.14*7.959*2</f>
        <v>4.17</v>
      </c>
      <c r="G243" s="29"/>
      <c r="H243" s="130"/>
      <c r="I243" s="130"/>
      <c r="J243" s="130"/>
    </row>
    <row r="244" spans="1:10">
      <c r="A244" s="103"/>
      <c r="B244" s="104"/>
      <c r="C244" s="105"/>
      <c r="D244" s="106"/>
      <c r="E244" s="132" t="s">
        <v>395</v>
      </c>
      <c r="F244" s="33">
        <f xml:space="preserve"> 0.4*(0.33+7.547+0.33)</f>
        <v>3.28</v>
      </c>
      <c r="G244" s="29"/>
      <c r="H244" s="130"/>
      <c r="I244" s="130"/>
      <c r="J244" s="130"/>
    </row>
    <row r="245" spans="1:10">
      <c r="A245" s="103"/>
      <c r="B245" s="104"/>
      <c r="C245" s="105"/>
      <c r="D245" s="106"/>
      <c r="E245" s="132" t="s">
        <v>396</v>
      </c>
      <c r="F245" s="33">
        <f xml:space="preserve"> 0.4*(0.33+7.547+0.33)</f>
        <v>3.28</v>
      </c>
      <c r="G245" s="29"/>
      <c r="H245" s="130"/>
      <c r="I245" s="130"/>
      <c r="J245" s="130"/>
    </row>
    <row r="246" spans="1:10">
      <c r="A246" s="103"/>
      <c r="B246" s="104"/>
      <c r="C246" s="105"/>
      <c r="D246" s="106"/>
      <c r="E246" s="132" t="s">
        <v>397</v>
      </c>
      <c r="F246" s="34">
        <f xml:space="preserve"> 7.4*0.1*8</f>
        <v>5.92</v>
      </c>
      <c r="G246" s="29"/>
      <c r="H246" s="130"/>
      <c r="I246" s="130"/>
      <c r="J246" s="130"/>
    </row>
    <row r="247" spans="1:10">
      <c r="A247" s="103"/>
      <c r="B247" s="104"/>
      <c r="C247" s="105"/>
      <c r="D247" s="106"/>
      <c r="E247" s="134" t="s">
        <v>230</v>
      </c>
      <c r="F247" s="33">
        <f>SUM(F243:F246)</f>
        <v>16.649999999999999</v>
      </c>
      <c r="G247" s="29"/>
      <c r="H247" s="130"/>
      <c r="I247" s="130"/>
      <c r="J247" s="130"/>
    </row>
    <row r="248" spans="1:10">
      <c r="A248" s="103"/>
      <c r="B248" s="104"/>
      <c r="C248" s="105"/>
      <c r="D248" s="106"/>
      <c r="E248" s="132"/>
      <c r="F248" s="73"/>
      <c r="G248" s="29"/>
      <c r="H248" s="130"/>
      <c r="I248" s="130"/>
      <c r="J248" s="130"/>
    </row>
    <row r="249" spans="1:10" ht="25.5">
      <c r="A249" s="103"/>
      <c r="B249" s="104"/>
      <c r="C249" s="64" t="s">
        <v>398</v>
      </c>
      <c r="D249" s="65"/>
      <c r="E249" s="66" t="s">
        <v>399</v>
      </c>
      <c r="F249" s="67"/>
      <c r="G249" s="68" t="s">
        <v>0</v>
      </c>
      <c r="H249" s="131">
        <v>1.79</v>
      </c>
      <c r="I249" s="308"/>
      <c r="J249" s="131">
        <f t="shared" si="3"/>
        <v>0</v>
      </c>
    </row>
    <row r="250" spans="1:10" ht="25.5">
      <c r="A250" s="103"/>
      <c r="B250" s="104"/>
      <c r="C250" s="105"/>
      <c r="D250" s="80" t="s">
        <v>400</v>
      </c>
      <c r="E250" s="81" t="s">
        <v>401</v>
      </c>
      <c r="F250" s="82"/>
      <c r="G250" s="83" t="s">
        <v>0</v>
      </c>
      <c r="H250" s="130">
        <v>1.79</v>
      </c>
      <c r="I250" s="130"/>
      <c r="J250" s="130"/>
    </row>
    <row r="251" spans="1:10">
      <c r="A251" s="103"/>
      <c r="B251" s="104"/>
      <c r="C251" s="105"/>
      <c r="D251" s="80"/>
      <c r="E251" s="129" t="s">
        <v>335</v>
      </c>
      <c r="F251" s="62"/>
      <c r="G251" s="83"/>
      <c r="H251" s="130"/>
      <c r="I251" s="130"/>
      <c r="J251" s="130"/>
    </row>
    <row r="252" spans="1:10">
      <c r="A252" s="103"/>
      <c r="B252" s="104"/>
      <c r="C252" s="105"/>
      <c r="D252" s="80"/>
      <c r="E252" s="132" t="s">
        <v>402</v>
      </c>
      <c r="F252" s="143">
        <f xml:space="preserve"> 1791.17*0.001</f>
        <v>1.79</v>
      </c>
      <c r="G252" s="83"/>
      <c r="H252" s="130"/>
      <c r="I252" s="130"/>
      <c r="J252" s="130"/>
    </row>
    <row r="253" spans="1:10">
      <c r="A253" s="103"/>
      <c r="B253" s="104"/>
      <c r="C253" s="105"/>
      <c r="D253" s="80"/>
      <c r="E253" s="132"/>
      <c r="F253" s="143"/>
      <c r="G253" s="83"/>
      <c r="H253" s="130"/>
      <c r="I253" s="130"/>
      <c r="J253" s="130"/>
    </row>
    <row r="254" spans="1:10" ht="25.5">
      <c r="A254" s="63">
        <f>MAX(A$1:A253)+1</f>
        <v>32</v>
      </c>
      <c r="B254" s="104"/>
      <c r="C254" s="64" t="s">
        <v>403</v>
      </c>
      <c r="D254" s="65"/>
      <c r="E254" s="66" t="s">
        <v>404</v>
      </c>
      <c r="F254" s="67"/>
      <c r="G254" s="68" t="s">
        <v>8</v>
      </c>
      <c r="H254" s="131">
        <v>13.25</v>
      </c>
      <c r="I254" s="308"/>
      <c r="J254" s="131">
        <f t="shared" si="3"/>
        <v>0</v>
      </c>
    </row>
    <row r="255" spans="1:10">
      <c r="A255" s="103"/>
      <c r="B255" s="104"/>
      <c r="C255" s="105"/>
      <c r="D255" s="80"/>
      <c r="E255" s="132" t="s">
        <v>405</v>
      </c>
      <c r="F255" s="73"/>
      <c r="G255" s="83"/>
      <c r="H255" s="130"/>
      <c r="I255" s="130"/>
      <c r="J255" s="130"/>
    </row>
    <row r="256" spans="1:10">
      <c r="A256" s="103"/>
      <c r="B256" s="104"/>
      <c r="C256" s="105"/>
      <c r="D256" s="80"/>
      <c r="E256" s="132" t="s">
        <v>406</v>
      </c>
      <c r="F256" s="73">
        <f>0.241*7.4*2+0.187*7.4*7</f>
        <v>13.25</v>
      </c>
      <c r="G256" s="83"/>
      <c r="H256" s="130"/>
      <c r="I256" s="130"/>
      <c r="J256" s="130"/>
    </row>
    <row r="257" spans="1:10">
      <c r="A257" s="103"/>
      <c r="B257" s="104"/>
      <c r="C257" s="105"/>
      <c r="D257" s="106"/>
      <c r="E257" s="111"/>
      <c r="F257" s="73"/>
      <c r="G257" s="29"/>
      <c r="H257" s="130"/>
      <c r="I257" s="130"/>
      <c r="J257" s="130"/>
    </row>
    <row r="258" spans="1:10" ht="25.5">
      <c r="A258" s="63">
        <f>MAX(A$1:A257)+1</f>
        <v>33</v>
      </c>
      <c r="B258" s="104"/>
      <c r="C258" s="64" t="s">
        <v>407</v>
      </c>
      <c r="D258" s="65"/>
      <c r="E258" s="66" t="s">
        <v>408</v>
      </c>
      <c r="F258" s="67"/>
      <c r="G258" s="68" t="s">
        <v>1</v>
      </c>
      <c r="H258" s="131">
        <v>2</v>
      </c>
      <c r="I258" s="308"/>
      <c r="J258" s="131">
        <f t="shared" si="3"/>
        <v>0</v>
      </c>
    </row>
    <row r="259" spans="1:10" ht="25.5">
      <c r="A259" s="63"/>
      <c r="B259" s="104"/>
      <c r="C259" s="64"/>
      <c r="D259" s="80" t="s">
        <v>409</v>
      </c>
      <c r="E259" s="81" t="s">
        <v>410</v>
      </c>
      <c r="F259" s="82"/>
      <c r="G259" s="83" t="s">
        <v>1</v>
      </c>
      <c r="H259" s="130">
        <v>2</v>
      </c>
      <c r="I259" s="130"/>
      <c r="J259" s="130"/>
    </row>
    <row r="260" spans="1:10">
      <c r="A260" s="103"/>
      <c r="B260" s="104"/>
      <c r="C260" s="105"/>
      <c r="D260" s="106"/>
      <c r="E260" s="134"/>
      <c r="F260" s="73"/>
      <c r="G260" s="29"/>
      <c r="H260" s="130"/>
      <c r="I260" s="130"/>
      <c r="J260" s="130"/>
    </row>
    <row r="261" spans="1:10" ht="25.5">
      <c r="A261" s="63">
        <f>MAX(A$1:A260)+1</f>
        <v>34</v>
      </c>
      <c r="B261" s="104"/>
      <c r="C261" s="64" t="s">
        <v>411</v>
      </c>
      <c r="D261" s="65"/>
      <c r="E261" s="66" t="s">
        <v>412</v>
      </c>
      <c r="F261" s="67"/>
      <c r="G261" s="68" t="s">
        <v>7</v>
      </c>
      <c r="H261" s="131">
        <v>11.2</v>
      </c>
      <c r="I261" s="308"/>
      <c r="J261" s="131">
        <f t="shared" si="3"/>
        <v>0</v>
      </c>
    </row>
    <row r="262" spans="1:10" ht="25.5">
      <c r="A262" s="103"/>
      <c r="B262" s="104"/>
      <c r="C262" s="102"/>
      <c r="D262" s="80" t="s">
        <v>413</v>
      </c>
      <c r="E262" s="81" t="s">
        <v>414</v>
      </c>
      <c r="F262" s="82"/>
      <c r="G262" s="83" t="s">
        <v>7</v>
      </c>
      <c r="H262" s="130">
        <v>11.2</v>
      </c>
      <c r="I262" s="130"/>
      <c r="J262" s="130"/>
    </row>
    <row r="263" spans="1:10">
      <c r="A263" s="103"/>
      <c r="B263" s="104"/>
      <c r="C263" s="105"/>
      <c r="D263" s="106"/>
      <c r="E263" s="129" t="s">
        <v>415</v>
      </c>
      <c r="F263" s="73"/>
      <c r="G263" s="29"/>
      <c r="H263" s="130"/>
      <c r="I263" s="130"/>
      <c r="J263" s="130"/>
    </row>
    <row r="264" spans="1:10">
      <c r="A264" s="103"/>
      <c r="B264" s="104"/>
      <c r="C264" s="105"/>
      <c r="D264" s="106"/>
      <c r="E264" s="132" t="s">
        <v>416</v>
      </c>
      <c r="F264" s="33">
        <f>5.6*2</f>
        <v>11.2</v>
      </c>
      <c r="G264" s="29"/>
      <c r="H264" s="130"/>
      <c r="I264" s="130"/>
      <c r="J264" s="130"/>
    </row>
    <row r="265" spans="1:10">
      <c r="A265" s="103"/>
      <c r="B265" s="104"/>
      <c r="C265" s="105"/>
      <c r="D265" s="106"/>
      <c r="E265" s="111"/>
      <c r="F265" s="73"/>
      <c r="G265" s="29"/>
      <c r="H265" s="130"/>
      <c r="I265" s="130"/>
      <c r="J265" s="130"/>
    </row>
    <row r="266" spans="1:10">
      <c r="A266" s="63">
        <f>MAX(A$1:A265)+1</f>
        <v>35</v>
      </c>
      <c r="B266" s="104"/>
      <c r="C266" s="64" t="s">
        <v>417</v>
      </c>
      <c r="D266" s="65"/>
      <c r="E266" s="66" t="s">
        <v>418</v>
      </c>
      <c r="F266" s="67"/>
      <c r="G266" s="68" t="s">
        <v>7</v>
      </c>
      <c r="H266" s="131">
        <v>25.5</v>
      </c>
      <c r="I266" s="308"/>
      <c r="J266" s="131">
        <f t="shared" ref="J266:J322" si="4">I266*H266</f>
        <v>0</v>
      </c>
    </row>
    <row r="267" spans="1:10">
      <c r="A267" s="103"/>
      <c r="B267" s="104"/>
      <c r="C267" s="105"/>
      <c r="D267" s="80" t="s">
        <v>419</v>
      </c>
      <c r="E267" s="81" t="s">
        <v>420</v>
      </c>
      <c r="F267" s="82"/>
      <c r="G267" s="83" t="s">
        <v>7</v>
      </c>
      <c r="H267" s="130">
        <v>25.5</v>
      </c>
      <c r="I267" s="130"/>
      <c r="J267" s="130"/>
    </row>
    <row r="268" spans="1:10">
      <c r="A268" s="103"/>
      <c r="B268" s="104"/>
      <c r="C268" s="105"/>
      <c r="D268" s="106"/>
      <c r="E268" s="132" t="s">
        <v>421</v>
      </c>
      <c r="F268" s="33">
        <f xml:space="preserve"> 1.5+5*2+1.5</f>
        <v>13</v>
      </c>
      <c r="G268" s="29"/>
      <c r="H268" s="130"/>
      <c r="I268" s="130"/>
      <c r="J268" s="130"/>
    </row>
    <row r="269" spans="1:10">
      <c r="A269" s="103"/>
      <c r="B269" s="104"/>
      <c r="C269" s="105"/>
      <c r="D269" s="106"/>
      <c r="E269" s="132" t="s">
        <v>422</v>
      </c>
      <c r="F269" s="34">
        <f xml:space="preserve"> 2*1.5+4*2+1.5</f>
        <v>12.5</v>
      </c>
      <c r="G269" s="29"/>
      <c r="H269" s="130"/>
      <c r="I269" s="130"/>
      <c r="J269" s="130"/>
    </row>
    <row r="270" spans="1:10">
      <c r="A270" s="103"/>
      <c r="B270" s="104"/>
      <c r="C270" s="105"/>
      <c r="D270" s="106"/>
      <c r="E270" s="134" t="s">
        <v>230</v>
      </c>
      <c r="F270" s="33">
        <f>SUM(F268:F269)</f>
        <v>25.5</v>
      </c>
      <c r="G270" s="29"/>
      <c r="H270" s="130"/>
      <c r="I270" s="130"/>
      <c r="J270" s="130"/>
    </row>
    <row r="271" spans="1:10" ht="25.5">
      <c r="A271" s="103"/>
      <c r="B271" s="104"/>
      <c r="C271" s="105"/>
      <c r="D271" s="106"/>
      <c r="E271" s="132" t="s">
        <v>423</v>
      </c>
      <c r="F271" s="33"/>
      <c r="G271" s="29"/>
      <c r="H271" s="130"/>
      <c r="I271" s="130"/>
      <c r="J271" s="130"/>
    </row>
    <row r="272" spans="1:10">
      <c r="A272" s="103"/>
      <c r="B272" s="104"/>
      <c r="C272" s="105"/>
      <c r="D272" s="106"/>
      <c r="E272" s="132" t="s">
        <v>424</v>
      </c>
      <c r="F272" s="33"/>
      <c r="G272" s="29"/>
      <c r="H272" s="130"/>
      <c r="I272" s="130"/>
      <c r="J272" s="130"/>
    </row>
    <row r="273" spans="1:10">
      <c r="A273" s="103"/>
      <c r="B273" s="104"/>
      <c r="C273" s="105"/>
      <c r="D273" s="106"/>
      <c r="E273" s="132"/>
      <c r="F273" s="33"/>
      <c r="G273" s="29"/>
      <c r="H273" s="130"/>
      <c r="I273" s="130"/>
      <c r="J273" s="130"/>
    </row>
    <row r="274" spans="1:10" ht="25.5">
      <c r="A274" s="63">
        <f>MAX(A$1:A273)+1</f>
        <v>36</v>
      </c>
      <c r="B274" s="104"/>
      <c r="C274" s="64" t="s">
        <v>425</v>
      </c>
      <c r="D274" s="65"/>
      <c r="E274" s="66" t="s">
        <v>426</v>
      </c>
      <c r="F274" s="67"/>
      <c r="G274" s="68" t="s">
        <v>2</v>
      </c>
      <c r="H274" s="131">
        <v>11.95</v>
      </c>
      <c r="I274" s="308"/>
      <c r="J274" s="131">
        <f t="shared" si="4"/>
        <v>0</v>
      </c>
    </row>
    <row r="275" spans="1:10" ht="25.5">
      <c r="A275" s="103"/>
      <c r="B275" s="104"/>
      <c r="C275" s="105"/>
      <c r="D275" s="80" t="s">
        <v>427</v>
      </c>
      <c r="E275" s="81" t="s">
        <v>428</v>
      </c>
      <c r="F275" s="82"/>
      <c r="G275" s="83" t="s">
        <v>2</v>
      </c>
      <c r="H275" s="130">
        <v>11.95</v>
      </c>
      <c r="I275" s="130"/>
      <c r="J275" s="130"/>
    </row>
    <row r="276" spans="1:10">
      <c r="A276" s="103"/>
      <c r="B276" s="104"/>
      <c r="C276" s="105"/>
      <c r="D276" s="80"/>
      <c r="E276" s="129" t="s">
        <v>429</v>
      </c>
      <c r="F276" s="81"/>
      <c r="G276" s="83"/>
      <c r="H276" s="130"/>
      <c r="I276" s="130"/>
      <c r="J276" s="130"/>
    </row>
    <row r="277" spans="1:10" ht="25.5">
      <c r="A277" s="103"/>
      <c r="B277" s="104"/>
      <c r="C277" s="105"/>
      <c r="D277" s="106"/>
      <c r="E277" s="132" t="s">
        <v>430</v>
      </c>
      <c r="F277" s="33">
        <f xml:space="preserve"> (1.27+1.33+1.39+1.31)*1.017</f>
        <v>5.39</v>
      </c>
      <c r="G277" s="29"/>
      <c r="H277" s="130"/>
      <c r="I277" s="130"/>
      <c r="J277" s="130"/>
    </row>
    <row r="278" spans="1:10">
      <c r="A278" s="103"/>
      <c r="B278" s="104"/>
      <c r="C278" s="105"/>
      <c r="D278" s="106"/>
      <c r="E278" s="132" t="s">
        <v>431</v>
      </c>
      <c r="F278" s="34">
        <f xml:space="preserve"> 0.1*4+0.55*5.6*2</f>
        <v>6.56</v>
      </c>
      <c r="G278" s="29"/>
      <c r="H278" s="130"/>
      <c r="I278" s="130"/>
      <c r="J278" s="130"/>
    </row>
    <row r="279" spans="1:10">
      <c r="A279" s="103"/>
      <c r="B279" s="104"/>
      <c r="C279" s="105"/>
      <c r="D279" s="106"/>
      <c r="E279" s="134" t="s">
        <v>230</v>
      </c>
      <c r="F279" s="73">
        <f>SUM(F277:F278)</f>
        <v>11.95</v>
      </c>
      <c r="G279" s="29"/>
      <c r="H279" s="130"/>
      <c r="I279" s="130"/>
      <c r="J279" s="130"/>
    </row>
    <row r="280" spans="1:10">
      <c r="A280" s="103"/>
      <c r="B280" s="104"/>
      <c r="C280" s="105"/>
      <c r="D280" s="106"/>
      <c r="E280" s="132"/>
      <c r="F280" s="73"/>
      <c r="G280" s="29"/>
      <c r="H280" s="130"/>
      <c r="I280" s="130"/>
      <c r="J280" s="130"/>
    </row>
    <row r="281" spans="1:10">
      <c r="A281" s="63">
        <f>MAX(A$1:A280)+1</f>
        <v>37</v>
      </c>
      <c r="B281" s="104"/>
      <c r="C281" s="64" t="s">
        <v>432</v>
      </c>
      <c r="D281" s="65"/>
      <c r="E281" s="66" t="s">
        <v>433</v>
      </c>
      <c r="F281" s="67"/>
      <c r="G281" s="68" t="s">
        <v>1</v>
      </c>
      <c r="H281" s="131">
        <v>56</v>
      </c>
      <c r="I281" s="308"/>
      <c r="J281" s="131">
        <f t="shared" si="4"/>
        <v>0</v>
      </c>
    </row>
    <row r="282" spans="1:10">
      <c r="A282" s="103"/>
      <c r="B282" s="104"/>
      <c r="C282" s="105"/>
      <c r="D282" s="106"/>
      <c r="E282" s="132" t="s">
        <v>434</v>
      </c>
      <c r="F282" s="33">
        <f xml:space="preserve"> 29+27</f>
        <v>56</v>
      </c>
      <c r="G282" s="29"/>
      <c r="H282" s="130"/>
      <c r="I282" s="130"/>
      <c r="J282" s="130"/>
    </row>
    <row r="283" spans="1:10">
      <c r="A283" s="103"/>
      <c r="B283" s="104"/>
      <c r="C283" s="105"/>
      <c r="D283" s="106"/>
      <c r="E283" s="132" t="s">
        <v>424</v>
      </c>
      <c r="F283" s="73"/>
      <c r="G283" s="29"/>
      <c r="H283" s="130"/>
      <c r="I283" s="130"/>
      <c r="J283" s="130"/>
    </row>
    <row r="284" spans="1:10">
      <c r="A284" s="103"/>
      <c r="B284" s="104"/>
      <c r="C284" s="105"/>
      <c r="D284" s="106"/>
      <c r="E284" s="132"/>
      <c r="F284" s="73"/>
      <c r="G284" s="29"/>
      <c r="H284" s="130"/>
      <c r="I284" s="130"/>
      <c r="J284" s="130"/>
    </row>
    <row r="285" spans="1:10">
      <c r="A285" s="103"/>
      <c r="B285" s="104"/>
      <c r="C285" s="105"/>
      <c r="D285" s="106"/>
      <c r="E285" s="111"/>
      <c r="F285" s="70"/>
      <c r="G285" s="29"/>
      <c r="H285" s="130"/>
      <c r="I285" s="130"/>
      <c r="J285" s="130"/>
    </row>
    <row r="286" spans="1:10" ht="25.5">
      <c r="A286" s="103"/>
      <c r="B286" s="54" t="s">
        <v>113</v>
      </c>
      <c r="C286" s="54"/>
      <c r="D286" s="65"/>
      <c r="E286" s="66" t="s">
        <v>114</v>
      </c>
      <c r="F286" s="73"/>
      <c r="G286" s="29"/>
      <c r="H286" s="130"/>
      <c r="I286" s="130"/>
      <c r="J286" s="130"/>
    </row>
    <row r="287" spans="1:10">
      <c r="A287" s="103"/>
      <c r="B287" s="54"/>
      <c r="C287" s="54"/>
      <c r="D287" s="65"/>
      <c r="E287" s="66"/>
      <c r="F287" s="73"/>
      <c r="G287" s="29"/>
      <c r="H287" s="130"/>
      <c r="I287" s="130"/>
      <c r="J287" s="130"/>
    </row>
    <row r="288" spans="1:10" ht="25.5">
      <c r="A288" s="63">
        <f>MAX(A$1:A287)+1</f>
        <v>38</v>
      </c>
      <c r="B288" s="54"/>
      <c r="C288" s="64" t="s">
        <v>99</v>
      </c>
      <c r="D288" s="65"/>
      <c r="E288" s="66" t="s">
        <v>435</v>
      </c>
      <c r="F288" s="67"/>
      <c r="G288" s="68" t="s">
        <v>2</v>
      </c>
      <c r="H288" s="131">
        <v>50.7</v>
      </c>
      <c r="I288" s="308"/>
      <c r="J288" s="131">
        <f t="shared" si="4"/>
        <v>0</v>
      </c>
    </row>
    <row r="289" spans="1:10" ht="25.5">
      <c r="A289" s="103"/>
      <c r="B289" s="54"/>
      <c r="C289" s="54"/>
      <c r="D289" s="80" t="s">
        <v>100</v>
      </c>
      <c r="E289" s="81" t="s">
        <v>436</v>
      </c>
      <c r="F289" s="82"/>
      <c r="G289" s="83" t="s">
        <v>2</v>
      </c>
      <c r="H289" s="130">
        <v>50.7</v>
      </c>
      <c r="I289" s="130"/>
      <c r="J289" s="130"/>
    </row>
    <row r="290" spans="1:10">
      <c r="A290" s="103"/>
      <c r="B290" s="54"/>
      <c r="C290" s="54"/>
      <c r="D290" s="65"/>
      <c r="E290" s="129" t="s">
        <v>437</v>
      </c>
      <c r="F290" s="73"/>
      <c r="G290" s="29"/>
      <c r="H290" s="130"/>
      <c r="I290" s="130"/>
      <c r="J290" s="130"/>
    </row>
    <row r="291" spans="1:10">
      <c r="A291" s="103"/>
      <c r="B291" s="54"/>
      <c r="C291" s="54"/>
      <c r="D291" s="65"/>
      <c r="E291" s="132" t="s">
        <v>438</v>
      </c>
      <c r="F291" s="73">
        <f xml:space="preserve"> 6.5*7.8</f>
        <v>50.7</v>
      </c>
      <c r="G291" s="29"/>
      <c r="H291" s="130"/>
      <c r="I291" s="130"/>
      <c r="J291" s="130"/>
    </row>
    <row r="292" spans="1:10">
      <c r="A292" s="103"/>
      <c r="B292" s="54"/>
      <c r="C292" s="54"/>
      <c r="D292" s="65"/>
      <c r="E292" s="66"/>
      <c r="F292" s="73"/>
      <c r="G292" s="29"/>
      <c r="H292" s="130"/>
      <c r="I292" s="130"/>
      <c r="J292" s="130"/>
    </row>
    <row r="293" spans="1:10" ht="25.5">
      <c r="A293" s="63">
        <f>MAX(A$1:A292)+1</f>
        <v>39</v>
      </c>
      <c r="B293" s="104"/>
      <c r="C293" s="64" t="s">
        <v>101</v>
      </c>
      <c r="D293" s="65"/>
      <c r="E293" s="66" t="s">
        <v>102</v>
      </c>
      <c r="F293" s="67"/>
      <c r="G293" s="68" t="s">
        <v>2</v>
      </c>
      <c r="H293" s="131">
        <v>50.7</v>
      </c>
      <c r="I293" s="308"/>
      <c r="J293" s="131">
        <f t="shared" si="4"/>
        <v>0</v>
      </c>
    </row>
    <row r="294" spans="1:10" ht="25.5">
      <c r="A294" s="103"/>
      <c r="B294" s="104"/>
      <c r="C294" s="105"/>
      <c r="D294" s="80" t="s">
        <v>103</v>
      </c>
      <c r="E294" s="81" t="s">
        <v>104</v>
      </c>
      <c r="F294" s="82"/>
      <c r="G294" s="83" t="s">
        <v>2</v>
      </c>
      <c r="H294" s="130">
        <v>50.7</v>
      </c>
      <c r="I294" s="130"/>
      <c r="J294" s="130"/>
    </row>
    <row r="295" spans="1:10">
      <c r="A295" s="103"/>
      <c r="B295" s="104"/>
      <c r="C295" s="105"/>
      <c r="D295" s="80"/>
      <c r="E295" s="129" t="s">
        <v>439</v>
      </c>
      <c r="F295" s="34"/>
      <c r="G295" s="83"/>
      <c r="H295" s="130"/>
      <c r="I295" s="130"/>
      <c r="J295" s="130"/>
    </row>
    <row r="296" spans="1:10">
      <c r="A296" s="103"/>
      <c r="B296" s="104"/>
      <c r="C296" s="105"/>
      <c r="D296" s="106"/>
      <c r="E296" s="132" t="s">
        <v>438</v>
      </c>
      <c r="F296" s="33">
        <f xml:space="preserve"> 6.5*7.8</f>
        <v>50.7</v>
      </c>
      <c r="G296" s="29"/>
      <c r="H296" s="130"/>
      <c r="I296" s="130"/>
      <c r="J296" s="130"/>
    </row>
    <row r="297" spans="1:10">
      <c r="A297" s="103"/>
      <c r="B297" s="104"/>
      <c r="C297" s="105"/>
      <c r="D297" s="106"/>
      <c r="E297" s="150"/>
      <c r="F297" s="33"/>
      <c r="G297" s="29"/>
      <c r="H297" s="130"/>
      <c r="I297" s="130"/>
      <c r="J297" s="130"/>
    </row>
    <row r="298" spans="1:10" ht="25.5">
      <c r="A298" s="63">
        <f>MAX(A$1:A297)+1</f>
        <v>40</v>
      </c>
      <c r="B298" s="104"/>
      <c r="C298" s="64" t="s">
        <v>105</v>
      </c>
      <c r="D298" s="65"/>
      <c r="E298" s="66" t="s">
        <v>106</v>
      </c>
      <c r="F298" s="67"/>
      <c r="G298" s="68" t="s">
        <v>8</v>
      </c>
      <c r="H298" s="131">
        <v>4.3099999999999996</v>
      </c>
      <c r="I298" s="308"/>
      <c r="J298" s="131">
        <f t="shared" si="4"/>
        <v>0</v>
      </c>
    </row>
    <row r="299" spans="1:10" ht="25.5">
      <c r="A299" s="103"/>
      <c r="B299" s="104"/>
      <c r="C299" s="102"/>
      <c r="D299" s="80" t="s">
        <v>440</v>
      </c>
      <c r="E299" s="81" t="s">
        <v>441</v>
      </c>
      <c r="F299" s="82"/>
      <c r="G299" s="83" t="s">
        <v>8</v>
      </c>
      <c r="H299" s="130">
        <v>4.3099999999999996</v>
      </c>
      <c r="I299" s="130"/>
      <c r="J299" s="130"/>
    </row>
    <row r="300" spans="1:10">
      <c r="A300" s="103"/>
      <c r="B300" s="104"/>
      <c r="C300" s="105"/>
      <c r="D300" s="106"/>
      <c r="E300" s="129" t="s">
        <v>442</v>
      </c>
      <c r="F300" s="73"/>
      <c r="G300" s="29"/>
      <c r="H300" s="130"/>
      <c r="I300" s="130"/>
      <c r="J300" s="130"/>
    </row>
    <row r="301" spans="1:10">
      <c r="A301" s="103"/>
      <c r="B301" s="104"/>
      <c r="C301" s="105"/>
      <c r="D301" s="106"/>
      <c r="E301" s="132" t="s">
        <v>443</v>
      </c>
      <c r="F301" s="73">
        <f xml:space="preserve"> 6.5*7.8*0.04</f>
        <v>2.0299999999999998</v>
      </c>
      <c r="G301" s="29"/>
      <c r="H301" s="130"/>
      <c r="I301" s="130"/>
      <c r="J301" s="130"/>
    </row>
    <row r="302" spans="1:10">
      <c r="A302" s="103"/>
      <c r="B302" s="104"/>
      <c r="C302" s="105"/>
      <c r="D302" s="106"/>
      <c r="E302" s="129" t="s">
        <v>444</v>
      </c>
      <c r="F302" s="73"/>
      <c r="G302" s="29"/>
      <c r="H302" s="130"/>
      <c r="I302" s="130"/>
      <c r="J302" s="130"/>
    </row>
    <row r="303" spans="1:10">
      <c r="A303" s="103"/>
      <c r="B303" s="104"/>
      <c r="C303" s="105"/>
      <c r="D303" s="106"/>
      <c r="E303" s="132" t="s">
        <v>445</v>
      </c>
      <c r="F303" s="133">
        <f xml:space="preserve"> 6.5*7.8*0.045</f>
        <v>2.2799999999999998</v>
      </c>
      <c r="G303" s="29"/>
      <c r="H303" s="130"/>
      <c r="I303" s="130"/>
      <c r="J303" s="130"/>
    </row>
    <row r="304" spans="1:10">
      <c r="A304" s="103"/>
      <c r="B304" s="104"/>
      <c r="C304" s="105"/>
      <c r="D304" s="106"/>
      <c r="E304" s="134" t="s">
        <v>230</v>
      </c>
      <c r="F304" s="73">
        <f>SUM(F301:F303)</f>
        <v>4.3099999999999996</v>
      </c>
      <c r="G304" s="29"/>
      <c r="H304" s="130"/>
      <c r="I304" s="130"/>
      <c r="J304" s="130"/>
    </row>
    <row r="305" spans="1:10">
      <c r="A305" s="103"/>
      <c r="B305" s="104"/>
      <c r="C305" s="105"/>
      <c r="D305" s="106"/>
      <c r="E305" s="150"/>
      <c r="F305" s="73"/>
      <c r="G305" s="29"/>
      <c r="H305" s="130"/>
      <c r="I305" s="130"/>
      <c r="J305" s="130"/>
    </row>
    <row r="306" spans="1:10" ht="25.5">
      <c r="A306" s="63">
        <f>MAX(A$1:A305)+1</f>
        <v>41</v>
      </c>
      <c r="B306" s="104"/>
      <c r="C306" s="64" t="s">
        <v>109</v>
      </c>
      <c r="D306" s="65"/>
      <c r="E306" s="66" t="s">
        <v>446</v>
      </c>
      <c r="F306" s="67"/>
      <c r="G306" s="68" t="s">
        <v>7</v>
      </c>
      <c r="H306" s="131">
        <v>39.06</v>
      </c>
      <c r="I306" s="308"/>
      <c r="J306" s="131">
        <f t="shared" si="4"/>
        <v>0</v>
      </c>
    </row>
    <row r="307" spans="1:10" ht="38.25">
      <c r="A307" s="103"/>
      <c r="B307" s="104"/>
      <c r="C307" s="65"/>
      <c r="D307" s="80" t="s">
        <v>110</v>
      </c>
      <c r="E307" s="81" t="s">
        <v>447</v>
      </c>
      <c r="F307" s="82"/>
      <c r="G307" s="83" t="s">
        <v>7</v>
      </c>
      <c r="H307" s="130">
        <v>39.06</v>
      </c>
      <c r="I307" s="130"/>
      <c r="J307" s="130"/>
    </row>
    <row r="308" spans="1:10">
      <c r="A308" s="103"/>
      <c r="B308" s="104"/>
      <c r="C308" s="65"/>
      <c r="D308" s="80"/>
      <c r="E308" s="132" t="s">
        <v>448</v>
      </c>
      <c r="F308" s="33">
        <f xml:space="preserve"> 14.28+13.58</f>
        <v>27.86</v>
      </c>
      <c r="G308" s="83"/>
      <c r="H308" s="130"/>
      <c r="I308" s="130"/>
      <c r="J308" s="130"/>
    </row>
    <row r="309" spans="1:10">
      <c r="A309" s="103"/>
      <c r="B309" s="104"/>
      <c r="C309" s="65"/>
      <c r="D309" s="80"/>
      <c r="E309" s="132" t="s">
        <v>449</v>
      </c>
      <c r="F309" s="34">
        <f xml:space="preserve"> 5.6*2</f>
        <v>11.2</v>
      </c>
      <c r="G309" s="83"/>
      <c r="H309" s="130"/>
      <c r="I309" s="130"/>
      <c r="J309" s="130"/>
    </row>
    <row r="310" spans="1:10">
      <c r="A310" s="103"/>
      <c r="B310" s="104"/>
      <c r="C310" s="65"/>
      <c r="D310" s="80"/>
      <c r="E310" s="134" t="s">
        <v>230</v>
      </c>
      <c r="F310" s="33">
        <f>SUM(F308:F309)</f>
        <v>39.06</v>
      </c>
      <c r="G310" s="83"/>
      <c r="H310" s="130"/>
      <c r="I310" s="130"/>
      <c r="J310" s="130"/>
    </row>
    <row r="311" spans="1:10">
      <c r="A311" s="103"/>
      <c r="B311" s="104"/>
      <c r="C311" s="105"/>
      <c r="D311" s="106"/>
      <c r="E311" s="132"/>
      <c r="F311" s="33"/>
      <c r="G311" s="29"/>
      <c r="H311" s="130"/>
      <c r="I311" s="130"/>
      <c r="J311" s="130"/>
    </row>
    <row r="312" spans="1:10">
      <c r="A312" s="63">
        <f>MAX(A$1:A311)+1</f>
        <v>42</v>
      </c>
      <c r="B312" s="104"/>
      <c r="C312" s="64" t="s">
        <v>450</v>
      </c>
      <c r="D312" s="65"/>
      <c r="E312" s="66" t="s">
        <v>451</v>
      </c>
      <c r="F312" s="67"/>
      <c r="G312" s="68" t="s">
        <v>7</v>
      </c>
      <c r="H312" s="131">
        <v>4.5999999999999996</v>
      </c>
      <c r="I312" s="308"/>
      <c r="J312" s="131">
        <f t="shared" si="4"/>
        <v>0</v>
      </c>
    </row>
    <row r="313" spans="1:10">
      <c r="A313" s="103"/>
      <c r="B313" s="104"/>
      <c r="C313" s="102"/>
      <c r="D313" s="80" t="s">
        <v>452</v>
      </c>
      <c r="E313" s="81" t="s">
        <v>453</v>
      </c>
      <c r="F313" s="82"/>
      <c r="G313" s="83" t="s">
        <v>7</v>
      </c>
      <c r="H313" s="130">
        <v>4.5999999999999996</v>
      </c>
      <c r="I313" s="130"/>
      <c r="J313" s="130"/>
    </row>
    <row r="314" spans="1:10" ht="25.5">
      <c r="A314" s="103"/>
      <c r="B314" s="104"/>
      <c r="C314" s="105"/>
      <c r="D314" s="106"/>
      <c r="E314" s="151" t="s">
        <v>454</v>
      </c>
      <c r="F314" s="33"/>
      <c r="G314" s="29"/>
      <c r="H314" s="130"/>
      <c r="I314" s="130"/>
      <c r="J314" s="130"/>
    </row>
    <row r="315" spans="1:10">
      <c r="A315" s="103"/>
      <c r="B315" s="104"/>
      <c r="C315" s="105"/>
      <c r="D315" s="106"/>
      <c r="E315" s="151" t="s">
        <v>455</v>
      </c>
      <c r="F315" s="33">
        <v>4.5999999999999996</v>
      </c>
      <c r="G315" s="29"/>
      <c r="H315" s="130"/>
      <c r="I315" s="130"/>
      <c r="J315" s="130"/>
    </row>
    <row r="316" spans="1:10" ht="25.5">
      <c r="A316" s="103"/>
      <c r="B316" s="104"/>
      <c r="C316" s="105"/>
      <c r="D316" s="106"/>
      <c r="E316" s="132" t="s">
        <v>456</v>
      </c>
      <c r="F316" s="33"/>
      <c r="G316" s="29"/>
      <c r="H316" s="130"/>
      <c r="I316" s="130"/>
      <c r="J316" s="130"/>
    </row>
    <row r="317" spans="1:10">
      <c r="A317" s="103"/>
      <c r="B317" s="104"/>
      <c r="C317" s="105"/>
      <c r="D317" s="106"/>
      <c r="E317" s="132"/>
      <c r="F317" s="33"/>
      <c r="G317" s="29"/>
      <c r="H317" s="130"/>
      <c r="I317" s="130"/>
      <c r="J317" s="130"/>
    </row>
    <row r="318" spans="1:10" ht="25.5">
      <c r="A318" s="63">
        <f>MAX(A$1:A317)+1</f>
        <v>43</v>
      </c>
      <c r="B318" s="104"/>
      <c r="C318" s="64" t="s">
        <v>457</v>
      </c>
      <c r="D318" s="65"/>
      <c r="E318" s="66" t="s">
        <v>458</v>
      </c>
      <c r="F318" s="67"/>
      <c r="G318" s="68" t="s">
        <v>1</v>
      </c>
      <c r="H318" s="131">
        <v>2</v>
      </c>
      <c r="I318" s="308"/>
      <c r="J318" s="131">
        <f t="shared" si="4"/>
        <v>0</v>
      </c>
    </row>
    <row r="319" spans="1:10" ht="25.5">
      <c r="A319" s="103"/>
      <c r="B319" s="104"/>
      <c r="C319" s="105"/>
      <c r="D319" s="80" t="s">
        <v>459</v>
      </c>
      <c r="E319" s="81" t="s">
        <v>460</v>
      </c>
      <c r="F319" s="82"/>
      <c r="G319" s="83" t="s">
        <v>1</v>
      </c>
      <c r="H319" s="130">
        <v>2</v>
      </c>
      <c r="I319" s="130"/>
      <c r="J319" s="130"/>
    </row>
    <row r="320" spans="1:10">
      <c r="A320" s="103"/>
      <c r="B320" s="104"/>
      <c r="C320" s="105"/>
      <c r="D320" s="106"/>
      <c r="E320" s="132" t="s">
        <v>461</v>
      </c>
      <c r="F320" s="73">
        <v>2</v>
      </c>
      <c r="G320" s="29"/>
      <c r="H320" s="130"/>
      <c r="I320" s="130"/>
      <c r="J320" s="130"/>
    </row>
    <row r="321" spans="1:10">
      <c r="A321" s="103"/>
      <c r="B321" s="104"/>
      <c r="C321" s="105"/>
      <c r="D321" s="106"/>
      <c r="E321" s="150"/>
      <c r="F321" s="73"/>
      <c r="G321" s="29"/>
      <c r="H321" s="130"/>
      <c r="I321" s="130"/>
      <c r="J321" s="130"/>
    </row>
    <row r="322" spans="1:10">
      <c r="A322" s="63">
        <f>MAX(A$1:A321)+1</f>
        <v>44</v>
      </c>
      <c r="B322" s="104"/>
      <c r="C322" s="64" t="s">
        <v>462</v>
      </c>
      <c r="D322" s="65"/>
      <c r="E322" s="66" t="s">
        <v>463</v>
      </c>
      <c r="F322" s="67"/>
      <c r="G322" s="68" t="s">
        <v>7</v>
      </c>
      <c r="H322" s="131">
        <v>13.1</v>
      </c>
      <c r="I322" s="308"/>
      <c r="J322" s="131">
        <f t="shared" si="4"/>
        <v>0</v>
      </c>
    </row>
    <row r="323" spans="1:10">
      <c r="A323" s="103"/>
      <c r="B323" s="104"/>
      <c r="C323" s="102"/>
      <c r="D323" s="80" t="s">
        <v>464</v>
      </c>
      <c r="E323" s="81" t="s">
        <v>465</v>
      </c>
      <c r="F323" s="82"/>
      <c r="G323" s="83" t="s">
        <v>7</v>
      </c>
      <c r="H323" s="130">
        <v>13.1</v>
      </c>
      <c r="I323" s="130"/>
      <c r="J323" s="130"/>
    </row>
    <row r="324" spans="1:10">
      <c r="A324" s="103"/>
      <c r="B324" s="104"/>
      <c r="C324" s="105"/>
      <c r="D324" s="106"/>
      <c r="E324" s="129" t="s">
        <v>466</v>
      </c>
      <c r="F324" s="73"/>
      <c r="G324" s="29"/>
      <c r="H324" s="130"/>
      <c r="I324" s="130"/>
      <c r="J324" s="130"/>
    </row>
    <row r="325" spans="1:10">
      <c r="A325" s="103"/>
      <c r="B325" s="104"/>
      <c r="C325" s="105"/>
      <c r="D325" s="106"/>
      <c r="E325" s="132" t="s">
        <v>467</v>
      </c>
      <c r="F325" s="33">
        <f xml:space="preserve"> 2*2.75</f>
        <v>5.5</v>
      </c>
      <c r="G325" s="29"/>
      <c r="H325" s="130"/>
      <c r="I325" s="130"/>
      <c r="J325" s="130"/>
    </row>
    <row r="326" spans="1:10">
      <c r="A326" s="103"/>
      <c r="B326" s="104"/>
      <c r="C326" s="105"/>
      <c r="D326" s="106"/>
      <c r="E326" s="132" t="s">
        <v>468</v>
      </c>
      <c r="F326" s="34">
        <f xml:space="preserve"> 2.75+4.85</f>
        <v>7.6</v>
      </c>
      <c r="G326" s="29"/>
      <c r="H326" s="130"/>
      <c r="I326" s="130"/>
      <c r="J326" s="130"/>
    </row>
    <row r="327" spans="1:10">
      <c r="A327" s="103"/>
      <c r="B327" s="104"/>
      <c r="C327" s="105"/>
      <c r="D327" s="106"/>
      <c r="E327" s="134" t="s">
        <v>230</v>
      </c>
      <c r="F327" s="33">
        <f>SUM(F325:F326)</f>
        <v>13.1</v>
      </c>
      <c r="G327" s="29"/>
      <c r="H327" s="130"/>
      <c r="I327" s="130"/>
      <c r="J327" s="130"/>
    </row>
    <row r="328" spans="1:10">
      <c r="A328" s="103"/>
      <c r="B328" s="104"/>
      <c r="C328" s="105"/>
      <c r="D328" s="106"/>
      <c r="E328" s="132"/>
      <c r="F328" s="152"/>
      <c r="G328" s="29"/>
      <c r="H328" s="130"/>
      <c r="I328" s="130"/>
      <c r="J328" s="130"/>
    </row>
    <row r="329" spans="1:10">
      <c r="A329" s="103"/>
      <c r="B329" s="104"/>
      <c r="C329" s="105"/>
      <c r="D329" s="106"/>
      <c r="E329" s="111"/>
      <c r="F329" s="70"/>
      <c r="G329" s="29"/>
      <c r="H329" s="130"/>
      <c r="I329" s="130"/>
      <c r="J329" s="130"/>
    </row>
    <row r="330" spans="1:10" ht="25.5">
      <c r="A330" s="103"/>
      <c r="B330" s="54" t="s">
        <v>115</v>
      </c>
      <c r="C330" s="54"/>
      <c r="D330" s="65"/>
      <c r="E330" s="66" t="s">
        <v>122</v>
      </c>
      <c r="F330" s="73"/>
      <c r="G330" s="29"/>
      <c r="H330" s="130"/>
      <c r="I330" s="130"/>
      <c r="J330" s="130"/>
    </row>
    <row r="331" spans="1:10">
      <c r="A331" s="103"/>
      <c r="B331" s="104"/>
      <c r="C331" s="105"/>
      <c r="D331" s="106"/>
      <c r="E331" s="150"/>
      <c r="F331" s="73"/>
      <c r="G331" s="29"/>
      <c r="H331" s="130"/>
      <c r="I331" s="130"/>
      <c r="J331" s="130"/>
    </row>
    <row r="332" spans="1:10" ht="25.5">
      <c r="A332" s="63">
        <f>MAX(A$1:A331)+1</f>
        <v>45</v>
      </c>
      <c r="B332" s="104"/>
      <c r="C332" s="64" t="s">
        <v>469</v>
      </c>
      <c r="D332" s="65"/>
      <c r="E332" s="66" t="s">
        <v>470</v>
      </c>
      <c r="F332" s="67"/>
      <c r="G332" s="68" t="s">
        <v>8</v>
      </c>
      <c r="H332" s="131">
        <v>0.39</v>
      </c>
      <c r="I332" s="308"/>
      <c r="J332" s="131">
        <f t="shared" ref="J332:J383" si="5">I332*H332</f>
        <v>0</v>
      </c>
    </row>
    <row r="333" spans="1:10">
      <c r="A333" s="103"/>
      <c r="B333" s="104"/>
      <c r="C333" s="105"/>
      <c r="D333" s="106"/>
      <c r="E333" s="129" t="s">
        <v>471</v>
      </c>
      <c r="F333" s="73"/>
      <c r="G333" s="29"/>
      <c r="H333" s="130"/>
      <c r="I333" s="130"/>
      <c r="J333" s="130"/>
    </row>
    <row r="334" spans="1:10">
      <c r="A334" s="103"/>
      <c r="B334" s="104"/>
      <c r="C334" s="105"/>
      <c r="D334" s="106"/>
      <c r="E334" s="132" t="s">
        <v>472</v>
      </c>
      <c r="F334" s="73">
        <f xml:space="preserve"> (0.5+3.9+0.5)*0.8*0.1</f>
        <v>0.39</v>
      </c>
      <c r="G334" s="29"/>
      <c r="H334" s="130"/>
      <c r="I334" s="130"/>
      <c r="J334" s="130"/>
    </row>
    <row r="335" spans="1:10">
      <c r="A335" s="103"/>
      <c r="B335" s="104"/>
      <c r="C335" s="105"/>
      <c r="D335" s="106"/>
      <c r="E335" s="111"/>
      <c r="F335" s="70"/>
      <c r="G335" s="29"/>
      <c r="H335" s="130"/>
      <c r="I335" s="130"/>
      <c r="J335" s="130"/>
    </row>
    <row r="336" spans="1:10">
      <c r="A336" s="103"/>
      <c r="B336" s="104"/>
      <c r="C336" s="105"/>
      <c r="D336" s="106"/>
      <c r="E336" s="111"/>
      <c r="F336" s="70"/>
      <c r="G336" s="29"/>
      <c r="H336" s="130"/>
      <c r="I336" s="130"/>
      <c r="J336" s="130"/>
    </row>
    <row r="337" spans="1:10" ht="25.5">
      <c r="A337" s="103"/>
      <c r="B337" s="54" t="s">
        <v>473</v>
      </c>
      <c r="C337" s="54"/>
      <c r="D337" s="65"/>
      <c r="E337" s="66" t="s">
        <v>474</v>
      </c>
      <c r="F337" s="152"/>
      <c r="G337" s="29"/>
      <c r="H337" s="130"/>
      <c r="I337" s="130"/>
      <c r="J337" s="130"/>
    </row>
    <row r="338" spans="1:10">
      <c r="A338" s="103"/>
      <c r="B338" s="153"/>
      <c r="C338" s="54"/>
      <c r="D338" s="65"/>
      <c r="E338" s="66"/>
      <c r="F338" s="152"/>
      <c r="G338" s="29"/>
      <c r="H338" s="130"/>
      <c r="I338" s="130"/>
      <c r="J338" s="130"/>
    </row>
    <row r="339" spans="1:10">
      <c r="A339" s="63">
        <f>MAX(A$1:A338)+1</f>
        <v>46</v>
      </c>
      <c r="B339" s="153"/>
      <c r="C339" s="64" t="s">
        <v>288</v>
      </c>
      <c r="D339" s="65"/>
      <c r="E339" s="66" t="s">
        <v>289</v>
      </c>
      <c r="F339" s="67"/>
      <c r="G339" s="68" t="s">
        <v>8</v>
      </c>
      <c r="H339" s="131">
        <v>1.5</v>
      </c>
      <c r="I339" s="308"/>
      <c r="J339" s="131">
        <f t="shared" si="5"/>
        <v>0</v>
      </c>
    </row>
    <row r="340" spans="1:10">
      <c r="A340" s="103"/>
      <c r="B340" s="153"/>
      <c r="C340" s="54"/>
      <c r="D340" s="146" t="s">
        <v>290</v>
      </c>
      <c r="E340" s="147" t="s">
        <v>291</v>
      </c>
      <c r="F340" s="148"/>
      <c r="G340" s="29" t="s">
        <v>8</v>
      </c>
      <c r="H340" s="130">
        <v>1.5</v>
      </c>
      <c r="I340" s="130"/>
      <c r="J340" s="130"/>
    </row>
    <row r="341" spans="1:10">
      <c r="A341" s="103"/>
      <c r="B341" s="153"/>
      <c r="C341" s="54"/>
      <c r="D341" s="65"/>
      <c r="E341" s="129" t="s">
        <v>475</v>
      </c>
      <c r="F341" s="152"/>
      <c r="G341" s="29"/>
      <c r="H341" s="130"/>
      <c r="I341" s="130"/>
      <c r="J341" s="130"/>
    </row>
    <row r="342" spans="1:10">
      <c r="A342" s="103"/>
      <c r="B342" s="153"/>
      <c r="C342" s="54"/>
      <c r="D342" s="65"/>
      <c r="E342" s="132" t="s">
        <v>476</v>
      </c>
      <c r="F342" s="73">
        <f>(0.3+0.2)/2*0.3*2*10</f>
        <v>1.5</v>
      </c>
      <c r="G342" s="29"/>
      <c r="H342" s="130"/>
      <c r="I342" s="130"/>
      <c r="J342" s="130"/>
    </row>
    <row r="343" spans="1:10">
      <c r="A343" s="103"/>
      <c r="B343" s="153"/>
      <c r="C343" s="54"/>
      <c r="D343" s="65"/>
      <c r="E343" s="66"/>
      <c r="F343" s="152"/>
      <c r="G343" s="29"/>
      <c r="H343" s="130"/>
      <c r="I343" s="130"/>
      <c r="J343" s="130"/>
    </row>
    <row r="344" spans="1:10">
      <c r="A344" s="63">
        <f>MAX(A$1:A343)+1</f>
        <v>47</v>
      </c>
      <c r="B344" s="104"/>
      <c r="C344" s="64" t="s">
        <v>477</v>
      </c>
      <c r="D344" s="65"/>
      <c r="E344" s="66" t="s">
        <v>478</v>
      </c>
      <c r="F344" s="67"/>
      <c r="G344" s="68" t="s">
        <v>8</v>
      </c>
      <c r="H344" s="131">
        <v>1.6</v>
      </c>
      <c r="I344" s="308"/>
      <c r="J344" s="131">
        <f t="shared" si="5"/>
        <v>0</v>
      </c>
    </row>
    <row r="345" spans="1:10" ht="25.5">
      <c r="A345" s="103"/>
      <c r="B345" s="104"/>
      <c r="C345" s="105"/>
      <c r="D345" s="146" t="s">
        <v>479</v>
      </c>
      <c r="E345" s="148" t="s">
        <v>480</v>
      </c>
      <c r="F345" s="148"/>
      <c r="G345" s="29" t="s">
        <v>8</v>
      </c>
      <c r="H345" s="130">
        <v>1.6</v>
      </c>
      <c r="I345" s="130"/>
      <c r="J345" s="130"/>
    </row>
    <row r="346" spans="1:10">
      <c r="A346" s="103"/>
      <c r="B346" s="104"/>
      <c r="C346" s="105"/>
      <c r="D346" s="106"/>
      <c r="E346" s="129" t="s">
        <v>481</v>
      </c>
      <c r="F346" s="152"/>
      <c r="G346" s="29"/>
      <c r="H346" s="130"/>
      <c r="I346" s="130"/>
      <c r="J346" s="130"/>
    </row>
    <row r="347" spans="1:10">
      <c r="A347" s="103"/>
      <c r="B347" s="104"/>
      <c r="C347" s="105"/>
      <c r="D347" s="106"/>
      <c r="E347" s="132" t="s">
        <v>482</v>
      </c>
      <c r="F347" s="73">
        <f>1.92*0.6+2.26*0.1*2</f>
        <v>1.6</v>
      </c>
      <c r="G347" s="29"/>
      <c r="H347" s="130"/>
      <c r="I347" s="130"/>
      <c r="J347" s="130"/>
    </row>
    <row r="348" spans="1:10">
      <c r="A348" s="103"/>
      <c r="B348" s="104"/>
      <c r="C348" s="105"/>
      <c r="D348" s="106"/>
      <c r="E348" s="151" t="s">
        <v>483</v>
      </c>
      <c r="F348" s="73"/>
      <c r="G348" s="29"/>
      <c r="H348" s="130"/>
      <c r="I348" s="130"/>
      <c r="J348" s="130"/>
    </row>
    <row r="349" spans="1:10">
      <c r="A349" s="103"/>
      <c r="B349" s="104"/>
      <c r="C349" s="105"/>
      <c r="D349" s="106"/>
      <c r="E349" s="72"/>
      <c r="F349" s="33"/>
      <c r="G349" s="29"/>
      <c r="H349" s="130"/>
      <c r="I349" s="130"/>
      <c r="J349" s="130"/>
    </row>
    <row r="350" spans="1:10">
      <c r="A350" s="63">
        <f>MAX(A$1:A349)+1</f>
        <v>48</v>
      </c>
      <c r="B350" s="104"/>
      <c r="C350" s="64" t="s">
        <v>484</v>
      </c>
      <c r="D350" s="65"/>
      <c r="E350" s="66" t="s">
        <v>485</v>
      </c>
      <c r="F350" s="67"/>
      <c r="G350" s="68" t="s">
        <v>2</v>
      </c>
      <c r="H350" s="131">
        <v>9.41</v>
      </c>
      <c r="I350" s="308"/>
      <c r="J350" s="131">
        <f t="shared" si="5"/>
        <v>0</v>
      </c>
    </row>
    <row r="351" spans="1:10">
      <c r="A351" s="103"/>
      <c r="B351" s="104"/>
      <c r="C351" s="102"/>
      <c r="D351" s="80" t="s">
        <v>486</v>
      </c>
      <c r="E351" s="81" t="s">
        <v>487</v>
      </c>
      <c r="F351" s="82"/>
      <c r="G351" s="83" t="s">
        <v>2</v>
      </c>
      <c r="H351" s="130">
        <v>9.41</v>
      </c>
      <c r="I351" s="130"/>
      <c r="J351" s="130"/>
    </row>
    <row r="352" spans="1:10">
      <c r="A352" s="103"/>
      <c r="B352" s="104"/>
      <c r="C352" s="105"/>
      <c r="D352" s="106"/>
      <c r="E352" s="129" t="s">
        <v>481</v>
      </c>
      <c r="F352" s="73"/>
      <c r="G352" s="29"/>
      <c r="H352" s="130"/>
      <c r="I352" s="130"/>
      <c r="J352" s="130"/>
    </row>
    <row r="353" spans="1:10" ht="25.5">
      <c r="A353" s="103"/>
      <c r="B353" s="104"/>
      <c r="C353" s="105"/>
      <c r="D353" s="106"/>
      <c r="E353" s="132" t="s">
        <v>488</v>
      </c>
      <c r="F353" s="73">
        <f>2.26*2+(2.26-1.92)*2+0.6*0.18*14+(0.8+0.4+0.7+0.8)</f>
        <v>9.41</v>
      </c>
      <c r="G353" s="29"/>
      <c r="H353" s="130"/>
      <c r="I353" s="130"/>
      <c r="J353" s="130"/>
    </row>
    <row r="354" spans="1:10">
      <c r="A354" s="103"/>
      <c r="B354" s="104"/>
      <c r="C354" s="105"/>
      <c r="D354" s="106"/>
      <c r="E354" s="132"/>
      <c r="F354" s="33"/>
      <c r="G354" s="29"/>
      <c r="H354" s="130"/>
      <c r="I354" s="130"/>
      <c r="J354" s="130"/>
    </row>
    <row r="355" spans="1:10" ht="25.5">
      <c r="A355" s="63">
        <f>MAX(A$1:A354)+1</f>
        <v>49</v>
      </c>
      <c r="B355" s="104"/>
      <c r="C355" s="64" t="s">
        <v>489</v>
      </c>
      <c r="D355" s="65"/>
      <c r="E355" s="66" t="s">
        <v>490</v>
      </c>
      <c r="F355" s="67"/>
      <c r="G355" s="68" t="s">
        <v>8</v>
      </c>
      <c r="H355" s="131">
        <v>3.03</v>
      </c>
      <c r="I355" s="308"/>
      <c r="J355" s="131">
        <f t="shared" si="5"/>
        <v>0</v>
      </c>
    </row>
    <row r="356" spans="1:10" ht="25.5">
      <c r="A356" s="103"/>
      <c r="B356" s="104"/>
      <c r="C356" s="105"/>
      <c r="D356" s="146" t="s">
        <v>491</v>
      </c>
      <c r="E356" s="147" t="s">
        <v>492</v>
      </c>
      <c r="F356" s="148"/>
      <c r="G356" s="29" t="s">
        <v>8</v>
      </c>
      <c r="H356" s="130">
        <v>3.03</v>
      </c>
      <c r="I356" s="130"/>
      <c r="J356" s="130"/>
    </row>
    <row r="357" spans="1:10">
      <c r="A357" s="103"/>
      <c r="B357" s="104"/>
      <c r="C357" s="105"/>
      <c r="D357" s="106"/>
      <c r="E357" s="129" t="s">
        <v>493</v>
      </c>
      <c r="F357" s="33"/>
      <c r="G357" s="29"/>
      <c r="H357" s="130"/>
      <c r="I357" s="130"/>
      <c r="J357" s="130"/>
    </row>
    <row r="358" spans="1:10">
      <c r="A358" s="103"/>
      <c r="B358" s="104"/>
      <c r="C358" s="105"/>
      <c r="D358" s="106"/>
      <c r="E358" s="132" t="s">
        <v>494</v>
      </c>
      <c r="F358" s="33">
        <f xml:space="preserve"> (0.495*3+1.79)*0.1</f>
        <v>0.33</v>
      </c>
      <c r="G358" s="29"/>
      <c r="H358" s="130"/>
      <c r="I358" s="130"/>
      <c r="J358" s="130"/>
    </row>
    <row r="359" spans="1:10">
      <c r="A359" s="103"/>
      <c r="B359" s="104"/>
      <c r="C359" s="105"/>
      <c r="D359" s="106"/>
      <c r="E359" s="132" t="s">
        <v>495</v>
      </c>
      <c r="F359" s="34">
        <f xml:space="preserve"> (1.35*2*10)*0.1</f>
        <v>2.7</v>
      </c>
      <c r="G359" s="29"/>
      <c r="H359" s="130"/>
      <c r="I359" s="130"/>
      <c r="J359" s="130"/>
    </row>
    <row r="360" spans="1:10">
      <c r="A360" s="103"/>
      <c r="B360" s="104"/>
      <c r="C360" s="106"/>
      <c r="D360" s="106"/>
      <c r="E360" s="134" t="s">
        <v>230</v>
      </c>
      <c r="F360" s="73">
        <f>SUM(F358:F359)</f>
        <v>3.03</v>
      </c>
      <c r="G360" s="29"/>
      <c r="H360" s="130"/>
      <c r="I360" s="130"/>
      <c r="J360" s="130"/>
    </row>
    <row r="361" spans="1:10">
      <c r="A361" s="103"/>
      <c r="B361" s="104"/>
      <c r="C361" s="106"/>
      <c r="D361" s="106"/>
      <c r="E361" s="134"/>
      <c r="F361" s="73"/>
      <c r="G361" s="29"/>
      <c r="H361" s="130"/>
      <c r="I361" s="130"/>
      <c r="J361" s="130"/>
    </row>
    <row r="362" spans="1:10" ht="25.5">
      <c r="A362" s="63">
        <f>MAX(A$1:A361)+1</f>
        <v>50</v>
      </c>
      <c r="B362" s="104"/>
      <c r="C362" s="64" t="s">
        <v>496</v>
      </c>
      <c r="D362" s="65"/>
      <c r="E362" s="66" t="s">
        <v>497</v>
      </c>
      <c r="F362" s="67"/>
      <c r="G362" s="68" t="s">
        <v>8</v>
      </c>
      <c r="H362" s="131">
        <v>1.68</v>
      </c>
      <c r="I362" s="308"/>
      <c r="J362" s="131">
        <f t="shared" si="5"/>
        <v>0</v>
      </c>
    </row>
    <row r="363" spans="1:10" ht="25.5">
      <c r="A363" s="103"/>
      <c r="B363" s="104"/>
      <c r="C363" s="106"/>
      <c r="D363" s="146" t="s">
        <v>498</v>
      </c>
      <c r="E363" s="148" t="s">
        <v>499</v>
      </c>
      <c r="F363" s="148"/>
      <c r="G363" s="29" t="s">
        <v>8</v>
      </c>
      <c r="H363" s="130">
        <v>1.68</v>
      </c>
      <c r="I363" s="130"/>
      <c r="J363" s="130"/>
    </row>
    <row r="364" spans="1:10">
      <c r="A364" s="103"/>
      <c r="B364" s="104"/>
      <c r="C364" s="106"/>
      <c r="D364" s="106"/>
      <c r="E364" s="129" t="s">
        <v>500</v>
      </c>
      <c r="F364" s="73"/>
      <c r="G364" s="29"/>
      <c r="H364" s="130"/>
      <c r="I364" s="130"/>
      <c r="J364" s="130"/>
    </row>
    <row r="365" spans="1:10">
      <c r="A365" s="103"/>
      <c r="B365" s="104"/>
      <c r="C365" s="106"/>
      <c r="D365" s="106"/>
      <c r="E365" s="132" t="s">
        <v>501</v>
      </c>
      <c r="F365" s="73">
        <f>1.4*0.6*2</f>
        <v>1.68</v>
      </c>
      <c r="G365" s="29"/>
      <c r="H365" s="130"/>
      <c r="I365" s="130"/>
      <c r="J365" s="130"/>
    </row>
    <row r="366" spans="1:10">
      <c r="A366" s="103"/>
      <c r="B366" s="104"/>
      <c r="C366" s="106"/>
      <c r="D366" s="106"/>
      <c r="E366" s="134"/>
      <c r="F366" s="73"/>
      <c r="G366" s="29"/>
      <c r="H366" s="130"/>
      <c r="I366" s="130"/>
      <c r="J366" s="130"/>
    </row>
    <row r="367" spans="1:10" ht="25.5">
      <c r="A367" s="63">
        <f>MAX(A$1:A366)+1</f>
        <v>51</v>
      </c>
      <c r="B367" s="104"/>
      <c r="C367" s="64" t="s">
        <v>502</v>
      </c>
      <c r="D367" s="65"/>
      <c r="E367" s="66" t="s">
        <v>503</v>
      </c>
      <c r="F367" s="67"/>
      <c r="G367" s="68" t="s">
        <v>2</v>
      </c>
      <c r="H367" s="131">
        <v>11.96</v>
      </c>
      <c r="I367" s="308"/>
      <c r="J367" s="131">
        <f t="shared" si="5"/>
        <v>0</v>
      </c>
    </row>
    <row r="368" spans="1:10" ht="25.5">
      <c r="A368" s="103"/>
      <c r="B368" s="104"/>
      <c r="C368" s="102"/>
      <c r="D368" s="80" t="s">
        <v>504</v>
      </c>
      <c r="E368" s="81" t="s">
        <v>505</v>
      </c>
      <c r="F368" s="82"/>
      <c r="G368" s="83" t="s">
        <v>2</v>
      </c>
      <c r="H368" s="130">
        <v>11.96</v>
      </c>
      <c r="I368" s="130"/>
      <c r="J368" s="130"/>
    </row>
    <row r="369" spans="1:10">
      <c r="A369" s="103"/>
      <c r="B369" s="104"/>
      <c r="C369" s="106"/>
      <c r="D369" s="106"/>
      <c r="E369" s="129" t="s">
        <v>500</v>
      </c>
      <c r="F369" s="73"/>
      <c r="G369" s="29"/>
      <c r="H369" s="130"/>
      <c r="I369" s="130"/>
      <c r="J369" s="130"/>
    </row>
    <row r="370" spans="1:10">
      <c r="A370" s="103"/>
      <c r="B370" s="104"/>
      <c r="C370" s="106"/>
      <c r="D370" s="106"/>
      <c r="E370" s="132" t="s">
        <v>506</v>
      </c>
      <c r="F370" s="73">
        <f>1.4*2*2+5.3*0.6*2</f>
        <v>11.96</v>
      </c>
      <c r="G370" s="29"/>
      <c r="H370" s="130"/>
      <c r="I370" s="130"/>
      <c r="J370" s="130"/>
    </row>
    <row r="371" spans="1:10">
      <c r="A371" s="103"/>
      <c r="B371" s="104"/>
      <c r="C371" s="105"/>
      <c r="D371" s="106"/>
      <c r="E371" s="129"/>
      <c r="F371" s="33"/>
      <c r="G371" s="29"/>
      <c r="H371" s="130"/>
      <c r="I371" s="130"/>
      <c r="J371" s="130"/>
    </row>
    <row r="372" spans="1:10">
      <c r="A372" s="63">
        <f>MAX(A$1:A371)+1</f>
        <v>52</v>
      </c>
      <c r="B372" s="104"/>
      <c r="C372" s="64" t="s">
        <v>507</v>
      </c>
      <c r="D372" s="65"/>
      <c r="E372" s="66" t="s">
        <v>508</v>
      </c>
      <c r="F372" s="67"/>
      <c r="G372" s="68" t="s">
        <v>2</v>
      </c>
      <c r="H372" s="131">
        <v>30.28</v>
      </c>
      <c r="I372" s="308"/>
      <c r="J372" s="131">
        <f t="shared" si="5"/>
        <v>0</v>
      </c>
    </row>
    <row r="373" spans="1:10" ht="25.5">
      <c r="A373" s="103"/>
      <c r="B373" s="104"/>
      <c r="C373" s="105"/>
      <c r="D373" s="80" t="s">
        <v>509</v>
      </c>
      <c r="E373" s="81" t="s">
        <v>510</v>
      </c>
      <c r="F373" s="82"/>
      <c r="G373" s="83" t="s">
        <v>2</v>
      </c>
      <c r="H373" s="130">
        <v>30.28</v>
      </c>
      <c r="I373" s="130"/>
      <c r="J373" s="130"/>
    </row>
    <row r="374" spans="1:10">
      <c r="A374" s="103"/>
      <c r="B374" s="104"/>
      <c r="C374" s="105"/>
      <c r="D374" s="106"/>
      <c r="E374" s="129" t="s">
        <v>511</v>
      </c>
      <c r="F374" s="33"/>
      <c r="G374" s="29"/>
      <c r="H374" s="130"/>
      <c r="I374" s="130"/>
      <c r="J374" s="130"/>
    </row>
    <row r="375" spans="1:10">
      <c r="A375" s="103"/>
      <c r="B375" s="104"/>
      <c r="C375" s="105"/>
      <c r="D375" s="106"/>
      <c r="E375" s="132" t="s">
        <v>512</v>
      </c>
      <c r="F375" s="33">
        <f xml:space="preserve"> 0.495*3+1.79</f>
        <v>3.28</v>
      </c>
      <c r="G375" s="29"/>
      <c r="H375" s="130"/>
      <c r="I375" s="130"/>
      <c r="J375" s="130"/>
    </row>
    <row r="376" spans="1:10">
      <c r="A376" s="103"/>
      <c r="B376" s="104"/>
      <c r="C376" s="105"/>
      <c r="D376" s="106"/>
      <c r="E376" s="129" t="s">
        <v>513</v>
      </c>
      <c r="F376" s="73"/>
      <c r="G376" s="29"/>
      <c r="H376" s="130"/>
      <c r="I376" s="130"/>
      <c r="J376" s="130"/>
    </row>
    <row r="377" spans="1:10">
      <c r="A377" s="103"/>
      <c r="B377" s="104"/>
      <c r="C377" s="105"/>
      <c r="D377" s="106"/>
      <c r="E377" s="132" t="s">
        <v>514</v>
      </c>
      <c r="F377" s="34">
        <f xml:space="preserve"> 1.35*2*10</f>
        <v>27</v>
      </c>
      <c r="G377" s="29"/>
      <c r="H377" s="130"/>
      <c r="I377" s="130"/>
      <c r="J377" s="130"/>
    </row>
    <row r="378" spans="1:10">
      <c r="A378" s="103"/>
      <c r="B378" s="104"/>
      <c r="C378" s="106"/>
      <c r="D378" s="106"/>
      <c r="E378" s="134" t="s">
        <v>230</v>
      </c>
      <c r="F378" s="73">
        <f>SUM(F375:F377)</f>
        <v>30.28</v>
      </c>
      <c r="G378" s="29"/>
      <c r="H378" s="130"/>
      <c r="I378" s="130"/>
      <c r="J378" s="130"/>
    </row>
    <row r="379" spans="1:10">
      <c r="A379" s="103"/>
      <c r="B379" s="104"/>
      <c r="C379" s="105"/>
      <c r="D379" s="106"/>
      <c r="E379" s="111"/>
      <c r="F379" s="70"/>
      <c r="G379" s="29"/>
      <c r="H379" s="130"/>
      <c r="I379" s="130"/>
      <c r="J379" s="130"/>
    </row>
    <row r="380" spans="1:10">
      <c r="A380" s="103"/>
      <c r="B380" s="104"/>
      <c r="C380" s="64"/>
      <c r="D380" s="65"/>
      <c r="E380" s="66"/>
      <c r="F380" s="67"/>
      <c r="G380" s="68"/>
      <c r="H380" s="130"/>
      <c r="I380" s="130"/>
      <c r="J380" s="130"/>
    </row>
    <row r="381" spans="1:10">
      <c r="A381" s="103"/>
      <c r="B381" s="54" t="s">
        <v>515</v>
      </c>
      <c r="C381" s="54"/>
      <c r="D381" s="65"/>
      <c r="E381" s="66" t="s">
        <v>516</v>
      </c>
      <c r="F381" s="73"/>
      <c r="G381" s="29"/>
      <c r="H381" s="130"/>
      <c r="I381" s="130"/>
      <c r="J381" s="130"/>
    </row>
    <row r="382" spans="1:10">
      <c r="A382" s="103"/>
      <c r="B382" s="104"/>
      <c r="C382" s="105"/>
      <c r="D382" s="106"/>
      <c r="E382" s="111"/>
      <c r="F382" s="73"/>
      <c r="G382" s="29"/>
      <c r="H382" s="130"/>
      <c r="I382" s="130"/>
      <c r="J382" s="130"/>
    </row>
    <row r="383" spans="1:10" ht="25.5">
      <c r="A383" s="63">
        <f>MAX(A$1:A382)+1</f>
        <v>53</v>
      </c>
      <c r="B383" s="104"/>
      <c r="C383" s="64" t="s">
        <v>517</v>
      </c>
      <c r="D383" s="65"/>
      <c r="E383" s="66" t="s">
        <v>518</v>
      </c>
      <c r="F383" s="67"/>
      <c r="G383" s="68" t="s">
        <v>2</v>
      </c>
      <c r="H383" s="131">
        <v>71.63</v>
      </c>
      <c r="I383" s="308"/>
      <c r="J383" s="131">
        <f t="shared" si="5"/>
        <v>0</v>
      </c>
    </row>
    <row r="384" spans="1:10" ht="25.5">
      <c r="A384" s="103"/>
      <c r="B384" s="104"/>
      <c r="C384" s="102"/>
      <c r="D384" s="80" t="s">
        <v>519</v>
      </c>
      <c r="E384" s="81" t="s">
        <v>520</v>
      </c>
      <c r="F384" s="82"/>
      <c r="G384" s="83" t="s">
        <v>2</v>
      </c>
      <c r="H384" s="130">
        <v>19.059999999999999</v>
      </c>
      <c r="I384" s="130"/>
      <c r="J384" s="130"/>
    </row>
    <row r="385" spans="1:10">
      <c r="A385" s="103"/>
      <c r="B385" s="104"/>
      <c r="C385" s="102"/>
      <c r="D385" s="80"/>
      <c r="E385" s="129" t="s">
        <v>521</v>
      </c>
      <c r="F385" s="33"/>
      <c r="G385" s="83"/>
      <c r="H385" s="130"/>
      <c r="I385" s="130"/>
      <c r="J385" s="130"/>
    </row>
    <row r="386" spans="1:10">
      <c r="A386" s="103"/>
      <c r="B386" s="104"/>
      <c r="C386" s="102"/>
      <c r="D386" s="80"/>
      <c r="E386" s="132" t="s">
        <v>522</v>
      </c>
      <c r="F386" s="33">
        <f xml:space="preserve"> (2.67+2.34)*0.38+(2.86+2.14)*0.1</f>
        <v>2.4</v>
      </c>
      <c r="G386" s="83"/>
      <c r="H386" s="130"/>
      <c r="I386" s="130"/>
      <c r="J386" s="130"/>
    </row>
    <row r="387" spans="1:10">
      <c r="A387" s="103"/>
      <c r="B387" s="104"/>
      <c r="C387" s="102"/>
      <c r="D387" s="80"/>
      <c r="E387" s="132" t="s">
        <v>523</v>
      </c>
      <c r="F387" s="33">
        <f xml:space="preserve"> (2.64+2.26)*0.38+(2.44+2.46)*0.1</f>
        <v>2.35</v>
      </c>
      <c r="G387" s="83"/>
      <c r="H387" s="130"/>
      <c r="I387" s="130"/>
      <c r="J387" s="130"/>
    </row>
    <row r="388" spans="1:10">
      <c r="A388" s="103"/>
      <c r="B388" s="104"/>
      <c r="C388" s="102"/>
      <c r="D388" s="80"/>
      <c r="E388" s="132" t="s">
        <v>524</v>
      </c>
      <c r="F388" s="34">
        <f xml:space="preserve"> 1.3*5.5*2</f>
        <v>14.3</v>
      </c>
      <c r="G388" s="83"/>
      <c r="H388" s="130"/>
      <c r="I388" s="130"/>
      <c r="J388" s="130"/>
    </row>
    <row r="389" spans="1:10">
      <c r="A389" s="103"/>
      <c r="B389" s="104"/>
      <c r="C389" s="102"/>
      <c r="D389" s="80"/>
      <c r="E389" s="134" t="s">
        <v>230</v>
      </c>
      <c r="F389" s="33">
        <f>SUM(F386:F388)</f>
        <v>19.05</v>
      </c>
      <c r="G389" s="83"/>
      <c r="H389" s="130"/>
      <c r="I389" s="130"/>
      <c r="J389" s="130"/>
    </row>
    <row r="390" spans="1:10" ht="25.5">
      <c r="A390" s="103"/>
      <c r="B390" s="104"/>
      <c r="C390" s="102"/>
      <c r="D390" s="80" t="s">
        <v>525</v>
      </c>
      <c r="E390" s="81" t="s">
        <v>526</v>
      </c>
      <c r="F390" s="82"/>
      <c r="G390" s="83" t="s">
        <v>2</v>
      </c>
      <c r="H390" s="130">
        <v>52.57</v>
      </c>
      <c r="I390" s="130"/>
      <c r="J390" s="130"/>
    </row>
    <row r="391" spans="1:10">
      <c r="A391" s="103"/>
      <c r="B391" s="104"/>
      <c r="C391" s="105"/>
      <c r="D391" s="106"/>
      <c r="E391" s="129" t="s">
        <v>521</v>
      </c>
      <c r="F391" s="73"/>
      <c r="G391" s="29"/>
      <c r="H391" s="130"/>
      <c r="I391" s="130"/>
      <c r="J391" s="130"/>
    </row>
    <row r="392" spans="1:10" ht="38.25">
      <c r="A392" s="103"/>
      <c r="B392" s="104"/>
      <c r="C392" s="105"/>
      <c r="D392" s="106"/>
      <c r="E392" s="132" t="s">
        <v>527</v>
      </c>
      <c r="F392" s="33">
        <f xml:space="preserve"> (6.07+6.84)*0.7+1.5*2.14+1.65*1.86+2.1+2.32+0.87+1.01+0.11+0.15</f>
        <v>21.88</v>
      </c>
      <c r="G392" s="29"/>
      <c r="H392" s="130"/>
      <c r="I392" s="130"/>
      <c r="J392" s="130"/>
    </row>
    <row r="393" spans="1:10" ht="38.25">
      <c r="A393" s="103"/>
      <c r="B393" s="104"/>
      <c r="C393" s="105"/>
      <c r="D393" s="106"/>
      <c r="E393" s="132" t="s">
        <v>528</v>
      </c>
      <c r="F393" s="33">
        <f xml:space="preserve"> (6.84+6.49)*0.7+1.96*2.14+1.8*1.86+2.95+2.58+1.26+1.13+0.22+0.09</f>
        <v>25.1</v>
      </c>
      <c r="G393" s="29"/>
      <c r="H393" s="130"/>
      <c r="I393" s="130"/>
      <c r="J393" s="130"/>
    </row>
    <row r="394" spans="1:10">
      <c r="A394" s="103"/>
      <c r="B394" s="104"/>
      <c r="C394" s="105"/>
      <c r="D394" s="106"/>
      <c r="E394" s="132" t="s">
        <v>529</v>
      </c>
      <c r="F394" s="34">
        <f xml:space="preserve"> (0.725*2+0.24*5.6)*2</f>
        <v>5.59</v>
      </c>
      <c r="G394" s="29"/>
      <c r="H394" s="130"/>
      <c r="I394" s="130"/>
      <c r="J394" s="130"/>
    </row>
    <row r="395" spans="1:10">
      <c r="A395" s="103"/>
      <c r="B395" s="104"/>
      <c r="C395" s="105"/>
      <c r="D395" s="106"/>
      <c r="E395" s="134" t="s">
        <v>230</v>
      </c>
      <c r="F395" s="33">
        <f>SUM(F392:F394)</f>
        <v>52.57</v>
      </c>
      <c r="G395" s="29"/>
      <c r="H395" s="130"/>
      <c r="I395" s="130"/>
      <c r="J395" s="130"/>
    </row>
    <row r="396" spans="1:10">
      <c r="A396" s="103"/>
      <c r="B396" s="104"/>
      <c r="C396" s="105"/>
      <c r="D396" s="106"/>
      <c r="E396" s="150"/>
      <c r="F396" s="33"/>
      <c r="G396" s="29"/>
      <c r="H396" s="130"/>
      <c r="I396" s="130"/>
      <c r="J396" s="130"/>
    </row>
    <row r="397" spans="1:10" ht="25.5">
      <c r="A397" s="63">
        <f>MAX(A$1:A396)+1</f>
        <v>54</v>
      </c>
      <c r="B397" s="104"/>
      <c r="C397" s="64" t="s">
        <v>530</v>
      </c>
      <c r="D397" s="65"/>
      <c r="E397" s="66" t="s">
        <v>531</v>
      </c>
      <c r="F397" s="67"/>
      <c r="G397" s="68" t="s">
        <v>2</v>
      </c>
      <c r="H397" s="131">
        <v>14.82</v>
      </c>
      <c r="I397" s="308"/>
      <c r="J397" s="131">
        <f t="shared" ref="J397:J427" si="6">I397*H397</f>
        <v>0</v>
      </c>
    </row>
    <row r="398" spans="1:10" ht="25.5">
      <c r="A398" s="103"/>
      <c r="B398" s="104"/>
      <c r="C398" s="105"/>
      <c r="D398" s="80" t="s">
        <v>532</v>
      </c>
      <c r="E398" s="81" t="s">
        <v>533</v>
      </c>
      <c r="F398" s="82"/>
      <c r="G398" s="83" t="s">
        <v>2</v>
      </c>
      <c r="H398" s="130">
        <v>14.82</v>
      </c>
      <c r="I398" s="130"/>
      <c r="J398" s="130"/>
    </row>
    <row r="399" spans="1:10">
      <c r="A399" s="103"/>
      <c r="B399" s="104"/>
      <c r="C399" s="105"/>
      <c r="D399" s="106"/>
      <c r="E399" s="129" t="s">
        <v>534</v>
      </c>
      <c r="F399" s="152"/>
      <c r="G399" s="29"/>
      <c r="H399" s="130"/>
      <c r="I399" s="130"/>
      <c r="J399" s="130"/>
    </row>
    <row r="400" spans="1:10">
      <c r="A400" s="103"/>
      <c r="B400" s="104"/>
      <c r="C400" s="105"/>
      <c r="D400" s="106"/>
      <c r="E400" s="132" t="s">
        <v>535</v>
      </c>
      <c r="F400" s="33">
        <f xml:space="preserve"> 6.88*1.017</f>
        <v>7</v>
      </c>
      <c r="G400" s="29"/>
      <c r="H400" s="130"/>
      <c r="I400" s="130"/>
      <c r="J400" s="130"/>
    </row>
    <row r="401" spans="1:10">
      <c r="A401" s="103"/>
      <c r="B401" s="104"/>
      <c r="C401" s="105"/>
      <c r="D401" s="106"/>
      <c r="E401" s="132" t="s">
        <v>536</v>
      </c>
      <c r="F401" s="34">
        <f xml:space="preserve"> 7.6*1.03</f>
        <v>7.83</v>
      </c>
      <c r="G401" s="29"/>
      <c r="H401" s="130"/>
      <c r="I401" s="130"/>
      <c r="J401" s="130"/>
    </row>
    <row r="402" spans="1:10">
      <c r="A402" s="103"/>
      <c r="B402" s="104"/>
      <c r="C402" s="105"/>
      <c r="D402" s="106"/>
      <c r="E402" s="134" t="s">
        <v>230</v>
      </c>
      <c r="F402" s="33">
        <f>SUM(F400:F401)</f>
        <v>14.83</v>
      </c>
      <c r="G402" s="29"/>
      <c r="H402" s="130"/>
      <c r="I402" s="130"/>
      <c r="J402" s="130"/>
    </row>
    <row r="403" spans="1:10">
      <c r="A403" s="103"/>
      <c r="B403" s="104"/>
      <c r="C403" s="105"/>
      <c r="D403" s="106"/>
      <c r="E403" s="132"/>
      <c r="F403" s="33"/>
      <c r="G403" s="29"/>
      <c r="H403" s="130"/>
      <c r="I403" s="130"/>
      <c r="J403" s="130"/>
    </row>
    <row r="404" spans="1:10">
      <c r="A404" s="63">
        <f>MAX(A$1:A403)+1</f>
        <v>55</v>
      </c>
      <c r="B404" s="104"/>
      <c r="C404" s="64" t="s">
        <v>537</v>
      </c>
      <c r="D404" s="65"/>
      <c r="E404" s="66" t="s">
        <v>538</v>
      </c>
      <c r="F404" s="67"/>
      <c r="G404" s="68" t="s">
        <v>2</v>
      </c>
      <c r="H404" s="131">
        <v>91.44</v>
      </c>
      <c r="I404" s="308"/>
      <c r="J404" s="131">
        <f t="shared" si="6"/>
        <v>0</v>
      </c>
    </row>
    <row r="405" spans="1:10" ht="25.5">
      <c r="A405" s="103"/>
      <c r="B405" s="104"/>
      <c r="C405" s="102"/>
      <c r="D405" s="80" t="s">
        <v>539</v>
      </c>
      <c r="E405" s="81" t="s">
        <v>540</v>
      </c>
      <c r="F405" s="82"/>
      <c r="G405" s="83" t="s">
        <v>2</v>
      </c>
      <c r="H405" s="130">
        <v>91.44</v>
      </c>
      <c r="I405" s="130"/>
      <c r="J405" s="130"/>
    </row>
    <row r="406" spans="1:10">
      <c r="A406" s="103"/>
      <c r="B406" s="104"/>
      <c r="C406" s="102"/>
      <c r="D406" s="80"/>
      <c r="E406" s="129" t="s">
        <v>541</v>
      </c>
      <c r="F406" s="81"/>
      <c r="G406" s="83"/>
      <c r="H406" s="130"/>
      <c r="I406" s="130"/>
      <c r="J406" s="130"/>
    </row>
    <row r="407" spans="1:10">
      <c r="A407" s="103"/>
      <c r="B407" s="104"/>
      <c r="C407" s="102"/>
      <c r="D407" s="80"/>
      <c r="E407" s="132" t="s">
        <v>542</v>
      </c>
      <c r="F407" s="33">
        <f xml:space="preserve"> 7.34*8</f>
        <v>58.72</v>
      </c>
      <c r="G407" s="83"/>
      <c r="H407" s="130"/>
      <c r="I407" s="130"/>
      <c r="J407" s="130"/>
    </row>
    <row r="408" spans="1:10">
      <c r="A408" s="103"/>
      <c r="B408" s="104"/>
      <c r="C408" s="102"/>
      <c r="D408" s="80"/>
      <c r="E408" s="132" t="s">
        <v>543</v>
      </c>
      <c r="F408" s="33">
        <f xml:space="preserve"> 5.5*2*1</f>
        <v>11</v>
      </c>
      <c r="G408" s="83"/>
      <c r="H408" s="130"/>
      <c r="I408" s="130"/>
      <c r="J408" s="130"/>
    </row>
    <row r="409" spans="1:10">
      <c r="A409" s="103"/>
      <c r="B409" s="104"/>
      <c r="C409" s="102"/>
      <c r="D409" s="80"/>
      <c r="E409" s="129" t="s">
        <v>544</v>
      </c>
      <c r="F409" s="33"/>
      <c r="G409" s="83"/>
      <c r="H409" s="130"/>
      <c r="I409" s="130"/>
      <c r="J409" s="130"/>
    </row>
    <row r="410" spans="1:10">
      <c r="A410" s="103"/>
      <c r="B410" s="104"/>
      <c r="C410" s="102"/>
      <c r="D410" s="80"/>
      <c r="E410" s="132" t="s">
        <v>545</v>
      </c>
      <c r="F410" s="33">
        <f xml:space="preserve"> 8*0.67*2</f>
        <v>10.72</v>
      </c>
      <c r="G410" s="83"/>
      <c r="H410" s="130"/>
      <c r="I410" s="130"/>
      <c r="J410" s="130"/>
    </row>
    <row r="411" spans="1:10">
      <c r="A411" s="103"/>
      <c r="B411" s="104"/>
      <c r="C411" s="102"/>
      <c r="D411" s="80"/>
      <c r="E411" s="132" t="s">
        <v>543</v>
      </c>
      <c r="F411" s="34">
        <f xml:space="preserve"> 5.5*2*1</f>
        <v>11</v>
      </c>
      <c r="G411" s="83"/>
      <c r="H411" s="130"/>
      <c r="I411" s="130"/>
      <c r="J411" s="130"/>
    </row>
    <row r="412" spans="1:10">
      <c r="A412" s="103"/>
      <c r="B412" s="104"/>
      <c r="C412" s="102"/>
      <c r="D412" s="80"/>
      <c r="E412" s="134" t="s">
        <v>230</v>
      </c>
      <c r="F412" s="33">
        <f>SUM(F407:F411)</f>
        <v>91.44</v>
      </c>
      <c r="G412" s="83"/>
      <c r="H412" s="130"/>
      <c r="I412" s="130"/>
      <c r="J412" s="130"/>
    </row>
    <row r="413" spans="1:10">
      <c r="A413" s="103"/>
      <c r="B413" s="104"/>
      <c r="C413" s="105"/>
      <c r="D413" s="106"/>
      <c r="E413" s="111"/>
      <c r="F413" s="70"/>
      <c r="G413" s="29"/>
      <c r="H413" s="130"/>
      <c r="I413" s="130"/>
      <c r="J413" s="130"/>
    </row>
    <row r="414" spans="1:10">
      <c r="A414" s="103"/>
      <c r="B414" s="104"/>
      <c r="C414" s="105"/>
      <c r="D414" s="106"/>
      <c r="E414" s="111"/>
      <c r="F414" s="70"/>
      <c r="G414" s="29"/>
      <c r="H414" s="130"/>
      <c r="I414" s="130"/>
      <c r="J414" s="130"/>
    </row>
    <row r="415" spans="1:10">
      <c r="A415" s="103"/>
      <c r="B415" s="54" t="s">
        <v>9</v>
      </c>
      <c r="C415" s="54"/>
      <c r="D415" s="65"/>
      <c r="E415" s="66" t="s">
        <v>10</v>
      </c>
      <c r="F415" s="66"/>
      <c r="G415" s="83"/>
      <c r="H415" s="130"/>
      <c r="I415" s="130"/>
      <c r="J415" s="130"/>
    </row>
    <row r="416" spans="1:10">
      <c r="A416" s="103"/>
      <c r="B416" s="54"/>
      <c r="C416" s="54"/>
      <c r="D416" s="65"/>
      <c r="E416" s="66"/>
      <c r="F416" s="66"/>
      <c r="G416" s="83"/>
      <c r="H416" s="130"/>
      <c r="I416" s="130"/>
      <c r="J416" s="130"/>
    </row>
    <row r="417" spans="1:10" ht="25.5">
      <c r="A417" s="63">
        <f>MAX(A$1:A416)+1</f>
        <v>56</v>
      </c>
      <c r="B417" s="54"/>
      <c r="C417" s="64" t="s">
        <v>546</v>
      </c>
      <c r="D417" s="65"/>
      <c r="E417" s="66" t="s">
        <v>547</v>
      </c>
      <c r="F417" s="67"/>
      <c r="G417" s="68" t="s">
        <v>8</v>
      </c>
      <c r="H417" s="131">
        <v>21.19</v>
      </c>
      <c r="I417" s="308"/>
      <c r="J417" s="131">
        <f t="shared" si="6"/>
        <v>0</v>
      </c>
    </row>
    <row r="418" spans="1:10" ht="25.5">
      <c r="A418" s="103"/>
      <c r="B418" s="54"/>
      <c r="C418" s="102"/>
      <c r="D418" s="80" t="s">
        <v>548</v>
      </c>
      <c r="E418" s="81" t="s">
        <v>549</v>
      </c>
      <c r="F418" s="82"/>
      <c r="G418" s="83" t="s">
        <v>8</v>
      </c>
      <c r="H418" s="130">
        <v>21.19</v>
      </c>
      <c r="I418" s="130"/>
      <c r="J418" s="130"/>
    </row>
    <row r="419" spans="1:10">
      <c r="A419" s="103"/>
      <c r="B419" s="54"/>
      <c r="C419" s="54"/>
      <c r="D419" s="65"/>
      <c r="E419" s="129" t="s">
        <v>550</v>
      </c>
      <c r="F419" s="66"/>
      <c r="G419" s="83"/>
      <c r="H419" s="130"/>
      <c r="I419" s="130"/>
      <c r="J419" s="130"/>
    </row>
    <row r="420" spans="1:10">
      <c r="A420" s="103"/>
      <c r="B420" s="54"/>
      <c r="C420" s="54"/>
      <c r="D420" s="65"/>
      <c r="E420" s="132" t="s">
        <v>551</v>
      </c>
      <c r="F420" s="73">
        <f xml:space="preserve"> (8+13.2)/2*0.5+(8.6+14.75)/2*0.5</f>
        <v>11.14</v>
      </c>
      <c r="G420" s="83"/>
      <c r="H420" s="130"/>
      <c r="I420" s="130"/>
      <c r="J420" s="130"/>
    </row>
    <row r="421" spans="1:10">
      <c r="A421" s="103"/>
      <c r="B421" s="54"/>
      <c r="C421" s="54"/>
      <c r="D421" s="65"/>
      <c r="E421" s="132" t="s">
        <v>552</v>
      </c>
      <c r="F421" s="133">
        <f xml:space="preserve"> (7.5+13.2)/2*0.5+(7+12.5)/2*0.5</f>
        <v>10.050000000000001</v>
      </c>
      <c r="G421" s="83"/>
      <c r="H421" s="130"/>
      <c r="I421" s="130"/>
      <c r="J421" s="130"/>
    </row>
    <row r="422" spans="1:10">
      <c r="A422" s="103"/>
      <c r="B422" s="54"/>
      <c r="C422" s="54"/>
      <c r="D422" s="65"/>
      <c r="E422" s="134" t="s">
        <v>230</v>
      </c>
      <c r="F422" s="73">
        <f>SUM(F420:F421)</f>
        <v>21.19</v>
      </c>
      <c r="G422" s="83"/>
      <c r="H422" s="130"/>
      <c r="I422" s="130"/>
      <c r="J422" s="130"/>
    </row>
    <row r="423" spans="1:10">
      <c r="A423" s="103"/>
      <c r="B423" s="54"/>
      <c r="C423" s="54"/>
      <c r="D423" s="65"/>
      <c r="E423" s="66"/>
      <c r="F423" s="66"/>
      <c r="G423" s="83"/>
      <c r="H423" s="130"/>
      <c r="I423" s="130"/>
      <c r="J423" s="130"/>
    </row>
    <row r="424" spans="1:10">
      <c r="A424" s="103"/>
      <c r="B424" s="104"/>
      <c r="C424" s="105"/>
      <c r="D424" s="106"/>
      <c r="E424" s="111"/>
      <c r="F424" s="70"/>
      <c r="G424" s="29"/>
      <c r="H424" s="130"/>
      <c r="I424" s="130"/>
      <c r="J424" s="130"/>
    </row>
    <row r="425" spans="1:10" ht="25.5">
      <c r="A425" s="103"/>
      <c r="B425" s="54" t="s">
        <v>553</v>
      </c>
      <c r="C425" s="54"/>
      <c r="D425" s="65"/>
      <c r="E425" s="66" t="s">
        <v>554</v>
      </c>
      <c r="F425" s="73"/>
      <c r="G425" s="29"/>
      <c r="H425" s="130"/>
      <c r="I425" s="130"/>
      <c r="J425" s="130"/>
    </row>
    <row r="426" spans="1:10">
      <c r="A426" s="103"/>
      <c r="B426" s="104"/>
      <c r="C426" s="105"/>
      <c r="D426" s="106"/>
      <c r="E426" s="111"/>
      <c r="F426" s="73"/>
      <c r="G426" s="29"/>
      <c r="H426" s="130"/>
      <c r="I426" s="130"/>
      <c r="J426" s="130"/>
    </row>
    <row r="427" spans="1:10">
      <c r="A427" s="63">
        <f>MAX(A$1:A426)+1</f>
        <v>57</v>
      </c>
      <c r="B427" s="104"/>
      <c r="C427" s="64" t="s">
        <v>555</v>
      </c>
      <c r="D427" s="65"/>
      <c r="E427" s="66" t="s">
        <v>556</v>
      </c>
      <c r="F427" s="67"/>
      <c r="G427" s="68" t="s">
        <v>2</v>
      </c>
      <c r="H427" s="131">
        <v>58.72</v>
      </c>
      <c r="I427" s="308"/>
      <c r="J427" s="131">
        <f t="shared" si="6"/>
        <v>0</v>
      </c>
    </row>
    <row r="428" spans="1:10" ht="25.5">
      <c r="A428" s="103"/>
      <c r="B428" s="104"/>
      <c r="C428" s="105"/>
      <c r="D428" s="80" t="s">
        <v>557</v>
      </c>
      <c r="E428" s="81" t="s">
        <v>558</v>
      </c>
      <c r="F428" s="82"/>
      <c r="G428" s="83" t="s">
        <v>2</v>
      </c>
      <c r="H428" s="130">
        <v>58.72</v>
      </c>
      <c r="I428" s="130"/>
      <c r="J428" s="130"/>
    </row>
    <row r="429" spans="1:10">
      <c r="A429" s="103"/>
      <c r="B429" s="104"/>
      <c r="C429" s="105"/>
      <c r="D429" s="80"/>
      <c r="E429" s="132" t="s">
        <v>559</v>
      </c>
      <c r="F429" s="33"/>
      <c r="G429" s="83"/>
      <c r="H429" s="130"/>
      <c r="I429" s="130"/>
      <c r="J429" s="130"/>
    </row>
    <row r="430" spans="1:10">
      <c r="A430" s="103"/>
      <c r="B430" s="104"/>
      <c r="C430" s="105"/>
      <c r="D430" s="80"/>
      <c r="E430" s="132" t="s">
        <v>560</v>
      </c>
      <c r="F430" s="33">
        <f>7.34*8</f>
        <v>58.72</v>
      </c>
      <c r="G430" s="83"/>
      <c r="H430" s="130"/>
      <c r="I430" s="130"/>
      <c r="J430" s="130"/>
    </row>
    <row r="431" spans="1:10">
      <c r="A431" s="103"/>
      <c r="B431" s="154"/>
      <c r="C431" s="105"/>
      <c r="D431" s="155"/>
      <c r="E431" s="132"/>
      <c r="F431" s="35"/>
      <c r="G431" s="83"/>
      <c r="H431" s="156"/>
      <c r="I431" s="156"/>
      <c r="J431" s="156"/>
    </row>
    <row r="432" spans="1:10" ht="13.5" thickBot="1">
      <c r="A432" s="47"/>
      <c r="B432" s="48"/>
      <c r="C432" s="113"/>
      <c r="D432" s="49"/>
      <c r="E432" s="50"/>
      <c r="F432" s="51"/>
      <c r="G432" s="52"/>
      <c r="H432" s="157"/>
      <c r="I432" s="157"/>
      <c r="J432" s="157"/>
    </row>
    <row r="433" spans="1:10" s="162" customFormat="1" ht="13.5" thickBot="1">
      <c r="A433" s="158"/>
      <c r="B433" s="159"/>
      <c r="C433" s="159"/>
      <c r="D433" s="159"/>
      <c r="E433" s="159"/>
      <c r="F433" s="160"/>
      <c r="G433" s="159"/>
      <c r="H433" s="160"/>
      <c r="I433" s="160"/>
      <c r="J433" s="161">
        <f>SUM(J5:J432)</f>
        <v>0</v>
      </c>
    </row>
  </sheetData>
  <sheetProtection algorithmName="SHA-512" hashValue="RgxbHJihmYvV1qHJlN9Dsq3/9b92HTNci1ehYLODbkquXOjLz41dgWtO5vD58qOP3lpEGAxBWg4SUmf+WR5lng==" saltValue="DhTdSy0jgKhUF/7Eis8A2w==" spinCount="100000" sheet="1" objects="1" scenarios="1"/>
  <mergeCells count="6">
    <mergeCell ref="J3:J4"/>
    <mergeCell ref="A3:C3"/>
    <mergeCell ref="E3:F4"/>
    <mergeCell ref="G3:G4"/>
    <mergeCell ref="H3:H4"/>
    <mergeCell ref="I3:I4"/>
  </mergeCells>
  <pageMargins left="0.39370078740157483" right="0.19685039370078741" top="0.98425196850393704" bottom="0.98425196850393704" header="0.51181102362204722" footer="0.51181102362204722"/>
  <pageSetup paperSize="9" scale="72" orientation="portrait" r:id="rId1"/>
  <headerFooter>
    <oddHeader>&amp;LNÁZOV STAVIEB : Rekonštrukcia a obnova mostov na cestách III. triedy BBSK, oblasť JUH
STAVBA : Most ev. č. 2561-3, C III/2561 v km 6,450 – Kráľovce-Krnišov&amp;RO. Výkaz výmer a rozpočet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7</vt:i4>
      </vt:variant>
    </vt:vector>
  </HeadingPairs>
  <TitlesOfParts>
    <vt:vector size="12" baseType="lpstr">
      <vt:lpstr>Rekapitulácia</vt:lpstr>
      <vt:lpstr>Rekapitulácia objektov</vt:lpstr>
      <vt:lpstr>001-00</vt:lpstr>
      <vt:lpstr>120-00</vt:lpstr>
      <vt:lpstr>202-00</vt:lpstr>
      <vt:lpstr>'001-00'!Názvy_tlače</vt:lpstr>
      <vt:lpstr>'120-00'!Názvy_tlače</vt:lpstr>
      <vt:lpstr>'202-00'!Názvy_tlače</vt:lpstr>
      <vt:lpstr>'Rekapitulácia objektov'!Názvy_tlače</vt:lpstr>
      <vt:lpstr>'001-00'!Oblasť_tlače</vt:lpstr>
      <vt:lpstr>'120-00'!Oblasť_tlače</vt:lpstr>
      <vt:lpstr>'202-00'!Oblasť_tlače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Ažaltovičová Alena Ing.</dc:creator>
  <cp:lastModifiedBy>Hornáček Peter Ing.</cp:lastModifiedBy>
  <cp:lastPrinted>2020-11-02T13:11:02Z</cp:lastPrinted>
  <dcterms:created xsi:type="dcterms:W3CDTF">2006-07-18T11:06:48Z</dcterms:created>
  <dcterms:modified xsi:type="dcterms:W3CDTF">2023-11-15T09:40:42Z</dcterms:modified>
</cp:coreProperties>
</file>